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10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comments10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Preset Scenarios" sheetId="1" state="hidden" r:id="rId3"/>
    <sheet name="Tracking Sheet" sheetId="2" state="visible" r:id="rId4"/>
    <sheet name="Assumptions" sheetId="3" state="visible" r:id="rId5"/>
    <sheet name="Power Price Assumption" sheetId="4" state="visible" r:id="rId6"/>
    <sheet name="IS" sheetId="5" state="visible" r:id="rId7"/>
    <sheet name="CF" sheetId="6" state="visible" r:id="rId8"/>
    <sheet name="Return Analysis" sheetId="7" state="visible" r:id="rId9"/>
    <sheet name="BS" sheetId="8" state="visible" r:id="rId10"/>
    <sheet name="Debt" sheetId="9" state="visible" r:id="rId11"/>
    <sheet name="IDC" sheetId="10" state="visible" r:id="rId12"/>
    <sheet name="Depreciation" sheetId="11" state="visible" r:id="rId13"/>
    <sheet name="Taxes" sheetId="12" state="visible" r:id="rId14"/>
    <sheet name="Hedges" sheetId="13" state="visible" r:id="rId15"/>
    <sheet name="Reference Sheet" sheetId="14" state="visible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function="false" hidden="false" localSheetId="2" name="_xlnm.Print_Area" vbProcedure="false">Assumptions!$A$3:$P$69</definedName>
    <definedName function="false" hidden="false" localSheetId="7" name="_xlnm.Print_Area" vbProcedure="false">BS!$A$2:$AG$9</definedName>
    <definedName function="false" hidden="false" localSheetId="7" name="_xlnm.Print_Titles" vbProcedure="false">BS!$A:$A</definedName>
    <definedName function="false" hidden="false" localSheetId="5" name="_xlnm.Print_Area" vbProcedure="false">CF!$A$2:$AG$49</definedName>
    <definedName function="false" hidden="false" localSheetId="5" name="_xlnm.Print_Titles" vbProcedure="false">CF!$A:$A</definedName>
    <definedName function="false" hidden="false" localSheetId="8" name="_xlnm.Print_Area" vbProcedure="false">Debt!$A$14:$AF$93</definedName>
    <definedName function="false" hidden="false" localSheetId="8" name="_xlnm.Print_Titles" vbProcedure="false">Debt!$A:$A</definedName>
    <definedName function="false" hidden="false" localSheetId="10" name="_xlnm.Print_Area" vbProcedure="false">Depreciation!$A$2:$AH$46</definedName>
    <definedName function="false" hidden="false" localSheetId="10" name="_xlnm.Print_Titles" vbProcedure="false">Depreciation!$A:$A</definedName>
    <definedName function="false" hidden="false" localSheetId="4" name="_xlnm.Print_Area" vbProcedure="false">IS!$A$2:$AG$56</definedName>
    <definedName function="false" hidden="false" localSheetId="4" name="_xlnm.Print_Titles" vbProcedure="false">IS!$A:$A</definedName>
    <definedName function="false" hidden="false" localSheetId="3" name="_xlnm.Print_Titles" vbProcedure="false">'Power Price Assumption'!$B:$B</definedName>
    <definedName function="false" hidden="false" localSheetId="0" name="_xlnm.Print_Area" vbProcedure="false">'Preset Scenarios'!$A$2:$M$30</definedName>
    <definedName function="false" hidden="false" localSheetId="13" name="_xlnm.Print_Area" vbProcedure="false">'Reference Sheet'!$A$2:$F$35</definedName>
    <definedName function="false" hidden="false" localSheetId="6" name="_xlnm.Print_Area" vbProcedure="false">'Return Analysis'!$A$1:$AB$45</definedName>
    <definedName function="false" hidden="false" localSheetId="11" name="_xlnm.Print_Area" vbProcedure="false">Taxes!$A$2:$AF$46</definedName>
    <definedName function="false" hidden="false" localSheetId="11" name="_xlnm.Print_Titles" vbProcedure="false">Taxes!$A:$A</definedName>
    <definedName function="false" hidden="false" name="AnnualHours" vbProcedure="false">Assumptions!$G$15</definedName>
    <definedName function="false" hidden="false" name="Begin_Op" vbProcedure="false">[5]Sum!$N$7</definedName>
    <definedName function="false" hidden="false" name="Deg_Rate" vbProcedure="false">Assumptions!$F$12</definedName>
    <definedName function="false" hidden="false" name="idc" vbProcedure="false">IDC!$A$1:$I$57</definedName>
    <definedName function="false" hidden="false" name="ISO_MW" vbProcedure="false">Assumptions!$I$10</definedName>
    <definedName function="false" hidden="false" name="Maint_Accrual" vbProcedure="false">#REF!</definedName>
    <definedName function="false" hidden="false" name="Main_Table" vbProcedure="false">'[2]Maintenance Reserves'!$D$22:$I$45</definedName>
    <definedName function="false" hidden="false" name="NetMW" vbProcedure="false">Assumptions!$I$11</definedName>
    <definedName function="false" hidden="false" name="PERIOD1" vbProcedure="false">'[4]Project Assumptions'!$F$38</definedName>
    <definedName function="false" hidden="false" name="PERIOD2" vbProcedure="false">'[4]Project Assumptions'!$G$38</definedName>
    <definedName function="false" hidden="false" name="principal" vbProcedure="false">'[4]Debt Amortization'!$D$98:$AC$98</definedName>
    <definedName function="false" hidden="false" name="StartMWh" vbProcedure="false">'[4]Project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  <definedName function="false" hidden="false" localSheetId="6" name="Maint_Accrual" vbProcedure="false">[3]Assumptions!$N$17</definedName>
    <definedName function="false" hidden="false" localSheetId="6" name="Variable" vbProcedure="false">[3]Assumptions!$L$12</definedName>
    <definedName function="false" hidden="false" localSheetId="6" name="WaterTreatmentVar" vbProcedure="false">[3]Assumptions!$L$10</definedName>
    <definedName function="false" hidden="false" localSheetId="6" name="wrn_test1_" vbProcedure="false">{"Income Statement",#N/A,FALSE,"CFMODEL";"Balance Sheet",#N/A,FALSE,"CFMODEL"}</definedName>
    <definedName function="false" hidden="false" localSheetId="6" name="wrn_test2_" vbProcedure="false">{"SourcesUses",#N/A,TRUE,"CFMODEL";"TransOverview",#N/A,TRUE,"CFMODEL"}</definedName>
    <definedName function="false" hidden="false" localSheetId="6" name="wrn_test3_" vbProcedure="false">{"SourcesUses",#N/A,TRUE,#N/A;"TransOverview",#N/A,TRUE,"CFMODEL"}</definedName>
    <definedName function="false" hidden="false" localSheetId="6" name="wrn_test4_" vbProcedure="false">{"SourcesUses",#N/A,TRUE,"FundsFlow";"TransOverview",#N/A,TRUE,"FundsFlow"}</definedName>
    <definedName function="false" hidden="false" localSheetId="9" name="Maint_Accrual" vbProcedure="false">[3]Assumptions!$N$17</definedName>
    <definedName function="false" hidden="false" localSheetId="9" name="Variable" vbProcedure="false">[3]Assumptions!$L$12</definedName>
    <definedName function="false" hidden="false" localSheetId="9" name="WaterTreatmentVar" vbProcedure="false">[3]Assumptions!$L$10</definedName>
    <definedName function="false" hidden="false" localSheetId="9" name="Z_87D5054C_0AAC_11D2_824B_00A0D1027254__wvu_PrintArea" vbProcedure="false">IDC!$A$2:$G$63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0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7" authorId="0">
      <text>
        <r>
          <rPr>
            <sz val="8"/>
            <color rgb="FF000000"/>
            <rFont val="Tahoma"/>
            <family val="2"/>
          </rPr>
          <t xml:space="preserve">This cannot be linked to the assumptions page, it makes the model circular.  Must be INPUT HERE.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5</xdr:row>
                <xdr:rowOff>5</xdr:rowOff>
              </xdr:from>
              <xdr:to>
                <xdr:col>2</xdr:col>
                <xdr:colOff>73</xdr:colOff>
                <xdr:row>10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<sst xmlns="http://schemas.openxmlformats.org/spreadsheetml/2006/main" count="608" uniqueCount="440">
  <si>
    <t xml:space="preserve">PRESET SCENARIOS</t>
  </si>
  <si>
    <t xml:space="preserve">Annual Escalator </t>
  </si>
  <si>
    <t xml:space="preserve">(include costs, revenues, and capacity prices)</t>
  </si>
  <si>
    <t xml:space="preserve">Operating Expenses</t>
  </si>
  <si>
    <t xml:space="preserve">Dispatch</t>
  </si>
  <si>
    <t xml:space="preserve">Kaiser Capacity Price Estimates</t>
  </si>
  <si>
    <t xml:space="preserve">Sensitivity Selections:</t>
  </si>
  <si>
    <t xml:space="preserve">Choices</t>
  </si>
  <si>
    <t xml:space="preserve">Annual Escalator (%)</t>
  </si>
  <si>
    <t xml:space="preserve">Increase in Op Exp (%)</t>
  </si>
  <si>
    <t xml:space="preserve">Kaiser Price Options</t>
  </si>
  <si>
    <t xml:space="preserve">Base</t>
  </si>
  <si>
    <t xml:space="preserve">Low</t>
  </si>
  <si>
    <t xml:space="preserve">Customize</t>
  </si>
  <si>
    <t xml:space="preserve">Chosen</t>
  </si>
  <si>
    <t xml:space="preserve">EQUITY PARTNER'S</t>
  </si>
  <si>
    <t xml:space="preserve">DSCR</t>
  </si>
  <si>
    <t xml:space="preserve">IRR</t>
  </si>
  <si>
    <t xml:space="preserve">MIN</t>
  </si>
  <si>
    <t xml:space="preserve">AVG</t>
  </si>
  <si>
    <t xml:space="preserve">Current (Annual)</t>
  </si>
  <si>
    <t xml:space="preserve">PLEASE TRACK</t>
  </si>
  <si>
    <t xml:space="preserve">CHANGES</t>
  </si>
  <si>
    <t xml:space="preserve">DATE</t>
  </si>
  <si>
    <t xml:space="preserve">TRACKING SHEET</t>
  </si>
  <si>
    <t xml:space="preserve">EQUITY</t>
  </si>
  <si>
    <t xml:space="preserve">IRR WITH NO</t>
  </si>
  <si>
    <t xml:space="preserve">IRR WITH </t>
  </si>
  <si>
    <t xml:space="preserve">FIXED PRICE PERIOD</t>
  </si>
  <si>
    <t xml:space="preserve">RESIDUAL VALUE</t>
  </si>
  <si>
    <t xml:space="preserve">AVGE</t>
  </si>
  <si>
    <t xml:space="preserve">Current </t>
  </si>
  <si>
    <t xml:space="preserve">Changes</t>
  </si>
  <si>
    <t xml:space="preserve">Unhide Sub Debt, 1999 Columns</t>
  </si>
  <si>
    <t xml:space="preserve">PROJECT NAME: LINCOLN</t>
  </si>
  <si>
    <t xml:space="preserve">ASSUMPTIONS &amp; SUMMARY OUTPUT</t>
  </si>
  <si>
    <t xml:space="preserve">SOURCES &amp; USES:</t>
  </si>
  <si>
    <t xml:space="preserve">PROJECT DESCRIPTION:</t>
  </si>
  <si>
    <t xml:space="preserve">TECHNICAL ASSUMPTIONS:</t>
  </si>
  <si>
    <t xml:space="preserve">Sources of Funds</t>
  </si>
  <si>
    <t xml:space="preserve">%</t>
  </si>
  <si>
    <t xml:space="preserve">000 $</t>
  </si>
  <si>
    <t xml:space="preserve">000 $/kW</t>
  </si>
  <si>
    <t xml:space="preserve">Type of Turbine</t>
  </si>
  <si>
    <t xml:space="preserve">LM6000</t>
  </si>
  <si>
    <t xml:space="preserve">Site Condition (MW)</t>
  </si>
  <si>
    <t xml:space="preserve">Total Equity </t>
  </si>
  <si>
    <t xml:space="preserve">Number of Turbines</t>
  </si>
  <si>
    <t xml:space="preserve">Evaporative Cooler (MW)</t>
  </si>
  <si>
    <t xml:space="preserve">Debt Issuance</t>
  </si>
  <si>
    <t xml:space="preserve">Turbine Rating</t>
  </si>
  <si>
    <t xml:space="preserve">Net Output before Degradation (MW)</t>
  </si>
  <si>
    <t xml:space="preserve">Heat Rate (HHV)</t>
  </si>
  <si>
    <t xml:space="preserve">Initial Spare Parts (000$)</t>
  </si>
  <si>
    <t xml:space="preserve">Total Sources</t>
  </si>
  <si>
    <t xml:space="preserve">Annual Operating Hours</t>
  </si>
  <si>
    <t xml:space="preserve">Number of Starts per year</t>
  </si>
  <si>
    <t xml:space="preserve">Percentage of Peak Run Time</t>
  </si>
  <si>
    <t xml:space="preserve">Cost per Start (000$)</t>
  </si>
  <si>
    <t xml:space="preserve">Financial Close</t>
  </si>
  <si>
    <t xml:space="preserve">Uses of Funds</t>
  </si>
  <si>
    <t xml:space="preserve">Start of Construction</t>
  </si>
  <si>
    <t xml:space="preserve">Start of Commercial Operation</t>
  </si>
  <si>
    <r>
      <rPr>
        <sz val="12"/>
        <rFont val="Times New Roman"/>
        <family val="1"/>
      </rPr>
      <t xml:space="preserve">EPC </t>
    </r>
    <r>
      <rPr>
        <sz val="12"/>
        <color rgb="FFFF0000"/>
        <rFont val="Times New Roman"/>
        <family val="1"/>
      </rPr>
      <t xml:space="preserve">(From Cost Configuration Model)</t>
    </r>
    <r>
      <rPr>
        <sz val="12"/>
        <rFont val="Times New Roman"/>
        <family val="1"/>
      </rPr>
      <t xml:space="preserve">:</t>
    </r>
  </si>
  <si>
    <t xml:space="preserve">No. of Months in the 1st Operating year</t>
  </si>
  <si>
    <t xml:space="preserve">OPERATING COSTS ASSUMPTIONS:</t>
  </si>
  <si>
    <t xml:space="preserve">  Turbine</t>
  </si>
  <si>
    <t xml:space="preserve">Project Life (Years)</t>
  </si>
  <si>
    <t xml:space="preserve">  BOP</t>
  </si>
  <si>
    <t xml:space="preserve">End of Commercial Operation</t>
  </si>
  <si>
    <t xml:space="preserve">CPI Escalator (%)</t>
  </si>
  <si>
    <t xml:space="preserve">  Pipeline</t>
  </si>
  <si>
    <t xml:space="preserve">Residual Value</t>
  </si>
  <si>
    <t xml:space="preserve">  Power Interconnection</t>
  </si>
  <si>
    <t xml:space="preserve">EBITDA Exit Multiple</t>
  </si>
  <si>
    <t xml:space="preserve">Escalated Costs:</t>
  </si>
  <si>
    <t xml:space="preserve">  SCR</t>
  </si>
  <si>
    <t xml:space="preserve">000$</t>
  </si>
  <si>
    <t xml:space="preserve">$/MW</t>
  </si>
  <si>
    <t xml:space="preserve">  Dual Fuel </t>
  </si>
  <si>
    <t xml:space="preserve">SUMMARY OUTPUT:</t>
  </si>
  <si>
    <t xml:space="preserve">Fixed O&amp;M</t>
  </si>
  <si>
    <t xml:space="preserve">  Black Start</t>
  </si>
  <si>
    <t xml:space="preserve">Variable O&amp;M</t>
  </si>
  <si>
    <t xml:space="preserve">  Gas Compression to 700 PSI</t>
  </si>
  <si>
    <t xml:space="preserve">Avg.</t>
  </si>
  <si>
    <t xml:space="preserve">Min</t>
  </si>
  <si>
    <t xml:space="preserve">  Fixed Price Period</t>
  </si>
  <si>
    <t xml:space="preserve">  Demineralized Water Facility</t>
  </si>
  <si>
    <t xml:space="preserve">  Market Price Period</t>
  </si>
  <si>
    <t xml:space="preserve">  Chillers</t>
  </si>
  <si>
    <t xml:space="preserve">Major Maintenance &amp; Ongoing Capex</t>
  </si>
  <si>
    <t xml:space="preserve">  Spare Parts</t>
  </si>
  <si>
    <t xml:space="preserve">Cost Summary</t>
  </si>
  <si>
    <t xml:space="preserve">000$/ MW</t>
  </si>
  <si>
    <t xml:space="preserve">Insurance</t>
  </si>
  <si>
    <t xml:space="preserve">Sub Total</t>
  </si>
  <si>
    <t xml:space="preserve">EPC</t>
  </si>
  <si>
    <t xml:space="preserve">SG&amp;A </t>
  </si>
  <si>
    <t xml:space="preserve">Soft Cost &amp; Other Misc Project Cost</t>
  </si>
  <si>
    <t xml:space="preserve">Utilities, Start Power</t>
  </si>
  <si>
    <t xml:space="preserve">Financing Costs:</t>
  </si>
  <si>
    <t xml:space="preserve">Marketing Fee</t>
  </si>
  <si>
    <t xml:space="preserve">  Legal Fees</t>
  </si>
  <si>
    <t xml:space="preserve">Total</t>
  </si>
  <si>
    <t xml:space="preserve">Admin Fees</t>
  </si>
  <si>
    <t xml:space="preserve">  Financing Fee</t>
  </si>
  <si>
    <t xml:space="preserve">O&amp;M Fees</t>
  </si>
  <si>
    <t xml:space="preserve">  Debt Reserves</t>
  </si>
  <si>
    <t xml:space="preserve">Equity Returns</t>
  </si>
  <si>
    <t xml:space="preserve">20 Yrs After-Tax Cashflow &amp; w/o Residual Value</t>
  </si>
  <si>
    <t xml:space="preserve">Non-Escalated Costs:</t>
  </si>
  <si>
    <t xml:space="preserve">20 Yrs After-Tax Cashflow &amp; w Residual Value</t>
  </si>
  <si>
    <t xml:space="preserve">Fuel</t>
  </si>
  <si>
    <t xml:space="preserve">  Capitalized Interests</t>
  </si>
  <si>
    <t xml:space="preserve">Property Taxes &amp; Other </t>
  </si>
  <si>
    <t xml:space="preserve">  Land</t>
  </si>
  <si>
    <t xml:space="preserve">Key Stats</t>
  </si>
  <si>
    <t xml:space="preserve">Debt Service Reserve Fee</t>
  </si>
  <si>
    <t xml:space="preserve">  Contingency</t>
  </si>
  <si>
    <t xml:space="preserve">EBITDA (000 $)</t>
  </si>
  <si>
    <t xml:space="preserve">   Mobilization Ezpenses</t>
  </si>
  <si>
    <t xml:space="preserve">Net Income (000 $)</t>
  </si>
  <si>
    <t xml:space="preserve">DEPRECIATION ASSUMPTIONS:</t>
  </si>
  <si>
    <t xml:space="preserve">Pre-Tax Cashflow (000 $)</t>
  </si>
  <si>
    <t xml:space="preserve">Total Uses</t>
  </si>
  <si>
    <t xml:space="preserve">After-Tax Cashflow (000 $)</t>
  </si>
  <si>
    <t xml:space="preserve">Year</t>
  </si>
  <si>
    <t xml:space="preserve">Method</t>
  </si>
  <si>
    <t xml:space="preserve">Residual (%)</t>
  </si>
  <si>
    <t xml:space="preserve">Federal &amp; State Tax Depreciation</t>
  </si>
  <si>
    <t xml:space="preserve">FINANCING ASSUMPTIONS:</t>
  </si>
  <si>
    <t xml:space="preserve">PPA ASSUMPTIONS:</t>
  </si>
  <si>
    <t xml:space="preserve">EPC Costs </t>
  </si>
  <si>
    <t xml:space="preserve">MACRS</t>
  </si>
  <si>
    <t xml:space="preserve">DEBT</t>
  </si>
  <si>
    <t xml:space="preserve">Tranche 1</t>
  </si>
  <si>
    <t xml:space="preserve">Tranche 2</t>
  </si>
  <si>
    <t xml:space="preserve">Tranche 3</t>
  </si>
  <si>
    <t xml:space="preserve">Transaction Costs </t>
  </si>
  <si>
    <t xml:space="preserve">SL</t>
  </si>
  <si>
    <t xml:space="preserve">Debt Issued </t>
  </si>
  <si>
    <t xml:space="preserve">PPA Start Date</t>
  </si>
  <si>
    <t xml:space="preserve">Treasury Rate as of:</t>
  </si>
  <si>
    <t xml:space="preserve">PPA Temination</t>
  </si>
  <si>
    <t xml:space="preserve">Book Depreciation</t>
  </si>
  <si>
    <t xml:space="preserve">Summary</t>
  </si>
  <si>
    <t xml:space="preserve">Lincoln Fixed Price Period</t>
  </si>
  <si>
    <t xml:space="preserve">Amount ('000 $)</t>
  </si>
  <si>
    <t xml:space="preserve">No. of Years</t>
  </si>
  <si>
    <t xml:space="preserve">Term (yrs)</t>
  </si>
  <si>
    <t xml:space="preserve">Demand Charge ($/kW-mo)</t>
  </si>
  <si>
    <t xml:space="preserve">TAX ASSUMPTIONS:</t>
  </si>
  <si>
    <t xml:space="preserve">Final Maturity</t>
  </si>
  <si>
    <t xml:space="preserve">Energy Charge ($/MWh)</t>
  </si>
  <si>
    <t xml:space="preserve">Average Life (yrs)</t>
  </si>
  <si>
    <t xml:space="preserve">Block Charge ($/start/turbine)</t>
  </si>
  <si>
    <t xml:space="preserve">Federal Income Tax Rate (%)</t>
  </si>
  <si>
    <t xml:space="preserve">Degradation Factor (%)</t>
  </si>
  <si>
    <t xml:space="preserve">State Income Tax Rate (%)</t>
  </si>
  <si>
    <t xml:space="preserve">Degraded Capacity (MW)</t>
  </si>
  <si>
    <t xml:space="preserve">Franchise Tax Rate (%)</t>
  </si>
  <si>
    <t xml:space="preserve">Treasury Rate (%)</t>
  </si>
  <si>
    <t xml:space="preserve">Net Generation (MW)</t>
  </si>
  <si>
    <t xml:space="preserve">Gross Receipt Tax Rate (%)</t>
  </si>
  <si>
    <t xml:space="preserve">Spread (%)</t>
  </si>
  <si>
    <t xml:space="preserve">Annual Property Tax Rate (%)</t>
  </si>
  <si>
    <t xml:space="preserve">All In Coupon Rate (%)</t>
  </si>
  <si>
    <t xml:space="preserve">Market Price Period</t>
  </si>
  <si>
    <t xml:space="preserve">Assessd Value Based on SL Depreciation (yrs)</t>
  </si>
  <si>
    <t xml:space="preserve">Salvage Value</t>
  </si>
  <si>
    <t xml:space="preserve">Maximum DSR Amount (000 $)</t>
  </si>
  <si>
    <t xml:space="preserve">(months/year)</t>
  </si>
  <si>
    <t xml:space="preserve">Assessd Value Multiplier</t>
  </si>
  <si>
    <t xml:space="preserve">Debt Service Reserve LOC Fee</t>
  </si>
  <si>
    <t xml:space="preserve">Milage Rate for School Tax (%)</t>
  </si>
  <si>
    <t xml:space="preserve">Interest Income Rate</t>
  </si>
  <si>
    <t xml:space="preserve">Years of School Tax Abatement (yrs)</t>
  </si>
  <si>
    <t xml:space="preserve">Milage Rate for County Tax (%)</t>
  </si>
  <si>
    <t xml:space="preserve">Years of County Tax Abatement (yrs)</t>
  </si>
  <si>
    <t xml:space="preserve">Equity Closed</t>
  </si>
  <si>
    <t xml:space="preserve">Milage Rate for City Tax (%)</t>
  </si>
  <si>
    <t xml:space="preserve">Equity Partner's Share</t>
  </si>
  <si>
    <t xml:space="preserve">Market Period Energy Margin ($/MWh)</t>
  </si>
  <si>
    <t xml:space="preserve">Years of City Tax Abatement (yrs)</t>
  </si>
  <si>
    <t xml:space="preserve">Enron's Share</t>
  </si>
  <si>
    <t xml:space="preserve">Capacity Factor (%)</t>
  </si>
  <si>
    <t xml:space="preserve">CAPACITY PRICE ASSUMPTIONS</t>
  </si>
  <si>
    <t xml:space="preserve">(To be linked to Dispatch Model)</t>
  </si>
  <si>
    <t xml:space="preserve">Consultant Capacity Price Escalator</t>
  </si>
  <si>
    <t xml:space="preserve">Consultant Real $</t>
  </si>
  <si>
    <t xml:space="preserve">Base ($/kw-year)</t>
  </si>
  <si>
    <t xml:space="preserve">Low ($/kw-year)</t>
  </si>
  <si>
    <t xml:space="preserve">Consultant Nominal $</t>
  </si>
  <si>
    <t xml:space="preserve">Base ($/kw-year )</t>
  </si>
  <si>
    <t xml:space="preserve">Base ($/kW-month)</t>
  </si>
  <si>
    <t xml:space="preserve">Low ($/kW-month)</t>
  </si>
  <si>
    <t xml:space="preserve">Power Desk</t>
  </si>
  <si>
    <t xml:space="preserve">Custom</t>
  </si>
  <si>
    <t xml:space="preserve">Market Price Scenario</t>
  </si>
  <si>
    <t xml:space="preserve">FUEL PRICE ASSUMPTIONS</t>
  </si>
  <si>
    <t xml:space="preserve">Gas Price MMBtu</t>
  </si>
  <si>
    <t xml:space="preserve">Base ($/MMBtu)</t>
  </si>
  <si>
    <t xml:space="preserve">Low ($/MMBtu)</t>
  </si>
  <si>
    <t xml:space="preserve">Basis Adj.</t>
  </si>
  <si>
    <t xml:space="preserve">INCOME STATEMENT</t>
  </si>
  <si>
    <t xml:space="preserve">('000 $)</t>
  </si>
  <si>
    <t xml:space="preserve">Revenue</t>
  </si>
  <si>
    <t xml:space="preserve">Fixed Price Period:</t>
  </si>
  <si>
    <t xml:space="preserve">Capacity Revenue</t>
  </si>
  <si>
    <t xml:space="preserve">Energy Revenue</t>
  </si>
  <si>
    <t xml:space="preserve">Variable Energy Revenue</t>
  </si>
  <si>
    <t xml:space="preserve">Block Payment</t>
  </si>
  <si>
    <t xml:space="preserve">Market Period:</t>
  </si>
  <si>
    <t xml:space="preserve">Energy Margin</t>
  </si>
  <si>
    <t xml:space="preserve">Ancillary Services</t>
  </si>
  <si>
    <t xml:space="preserve">Fees</t>
  </si>
  <si>
    <t xml:space="preserve">Fuel Expense Pass Through Plug</t>
  </si>
  <si>
    <t xml:space="preserve">Total Revenue</t>
  </si>
  <si>
    <t xml:space="preserve">Expense</t>
  </si>
  <si>
    <t xml:space="preserve">Fuel </t>
  </si>
  <si>
    <t xml:space="preserve">Variable O&amp;M </t>
  </si>
  <si>
    <t xml:space="preserve">Utility Start Power</t>
  </si>
  <si>
    <t xml:space="preserve">Property, Other Tax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</si>
  <si>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</si>
  <si>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</si>
  <si>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</si>
  <si>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</si>
  <si>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</si>
  <si>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</si>
  <si>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</si>
  <si>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EBT</t>
  </si>
  <si>
    <t xml:space="preserve">Book State Tax Benefit / (Expense)</t>
  </si>
  <si>
    <t xml:space="preserve">Shareholder Fed. Tax Benefit / (Expense)</t>
  </si>
  <si>
    <t xml:space="preserve">Net Income</t>
  </si>
  <si>
    <t xml:space="preserve">ANNUAL CASH FLOW AND IRR</t>
  </si>
  <si>
    <t xml:space="preserve">PROJECT CASH FLOW</t>
  </si>
  <si>
    <t xml:space="preserve">Plus Capitalized Interest</t>
  </si>
  <si>
    <t xml:space="preserve">Less Principal Payments</t>
  </si>
  <si>
    <t xml:space="preserve">Less Interest Payments</t>
  </si>
  <si>
    <t xml:space="preserve">Pre Tax Cash Flow</t>
  </si>
  <si>
    <t xml:space="preserve">  State Tax Benefit / (Expense)</t>
  </si>
  <si>
    <t xml:space="preserve">  Federal Tax Benefit / (Expense)</t>
  </si>
  <si>
    <t xml:space="preserve">After Tax Cash Flow</t>
  </si>
  <si>
    <t xml:space="preserve">EQUITY PARTNER'S CASHFLOW</t>
  </si>
  <si>
    <t xml:space="preserve"> Equity Partner's State Taxes Benefit (Expense)</t>
  </si>
  <si>
    <t xml:space="preserve"> Equity Partner's Federal Taxes Benefit (Expense)</t>
  </si>
  <si>
    <t xml:space="preserve">Equity Contributions from Equity Partner</t>
  </si>
  <si>
    <t xml:space="preserve">Equity Partner's Cashflow with No Residual</t>
  </si>
  <si>
    <t xml:space="preserve">Equity CF</t>
  </si>
  <si>
    <t xml:space="preserve">Equity Partner's Cashflow with Residual Value</t>
  </si>
  <si>
    <t xml:space="preserve">Net CF</t>
  </si>
  <si>
    <t xml:space="preserve">Equity Partner's After-Tax IRR w/ 5x EBITDA Residual (20 yr.)</t>
  </si>
  <si>
    <t xml:space="preserve">ENRON'S EQUITY CASHFLOW</t>
  </si>
  <si>
    <t xml:space="preserve"> Enron's State Taxes Benefit (Expense)</t>
  </si>
  <si>
    <t xml:space="preserve"> Enron's Federal Taxes Benefit (Expense)</t>
  </si>
  <si>
    <t xml:space="preserve">Equity Contributions from Enron</t>
  </si>
  <si>
    <t xml:space="preserve">Enron's Cashflow with No Residual</t>
  </si>
  <si>
    <t xml:space="preserve">Other CF</t>
  </si>
  <si>
    <t xml:space="preserve">Total CF</t>
  </si>
  <si>
    <t xml:space="preserve">Other Cashflow</t>
  </si>
  <si>
    <t xml:space="preserve">Project Lincoln</t>
  </si>
  <si>
    <t xml:space="preserve">Cash Taxes</t>
  </si>
  <si>
    <t xml:space="preserve">Principal Payments</t>
  </si>
  <si>
    <t xml:space="preserve">Capital Expenditures</t>
  </si>
  <si>
    <t xml:space="preserve">Cash Flow to Equity</t>
  </si>
  <si>
    <t xml:space="preserve">END OF PPA ANALYSIS ($000)</t>
  </si>
  <si>
    <t xml:space="preserve">Equity RROR</t>
  </si>
  <si>
    <t xml:space="preserve">Beginning Plant Value</t>
  </si>
  <si>
    <t xml:space="preserve">Beginning Balance</t>
  </si>
  <si>
    <t xml:space="preserve">Beginning Equity Investment</t>
  </si>
  <si>
    <t xml:space="preserve">Target Coupon</t>
  </si>
  <si>
    <t xml:space="preserve">Remaining Equity Exposure</t>
  </si>
  <si>
    <t xml:space="preserve">Actual Cash Flow</t>
  </si>
  <si>
    <t xml:space="preserve">Remaining Equity Exposure as</t>
  </si>
  <si>
    <t xml:space="preserve">Paydown</t>
  </si>
  <si>
    <t xml:space="preserve">a percent of Original Cost</t>
  </si>
  <si>
    <t xml:space="preserve">Ending Balance</t>
  </si>
  <si>
    <t xml:space="preserve">20% of Original Cost</t>
  </si>
  <si>
    <t xml:space="preserve">Equity Return</t>
  </si>
  <si>
    <t xml:space="preserve">Total Cash Flow</t>
  </si>
  <si>
    <t xml:space="preserve">EBITDA Multiple</t>
  </si>
  <si>
    <t xml:space="preserve">Zero Residual Value</t>
  </si>
  <si>
    <t xml:space="preserve">BALANCE SHEET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</si>
  <si>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</si>
  <si>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</si>
  <si>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</si>
  <si>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</si>
  <si>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</si>
  <si>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</si>
  <si>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Maintenance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</si>
  <si>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</si>
  <si>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</si>
  <si>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</si>
  <si>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</si>
  <si>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</si>
  <si>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</si>
  <si>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</si>
  <si>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</si>
  <si>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</si>
  <si>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</si>
  <si>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</si>
  <si>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</si>
  <si>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</si>
  <si>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</si>
  <si>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</si>
  <si>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</si>
  <si>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</si>
  <si>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</si>
  <si>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</si>
  <si>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</si>
  <si>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</si>
  <si>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Treasury</t>
  </si>
  <si>
    <t xml:space="preserve">Spread</t>
  </si>
  <si>
    <t xml:space="preserve">Spread </t>
  </si>
  <si>
    <t xml:space="preserve">All In Coupon Rate</t>
  </si>
  <si>
    <t xml:space="preserve">Term </t>
  </si>
  <si>
    <t xml:space="preserve">Average Life </t>
  </si>
  <si>
    <t xml:space="preserve">Total amount ($ '000)</t>
  </si>
  <si>
    <t xml:space="preserve">DEBT ISSUANCE</t>
  </si>
  <si>
    <t xml:space="preserve">Annual Amortization Tranche 1</t>
  </si>
  <si>
    <t xml:space="preserve">Annual Amortization Tranche 2</t>
  </si>
  <si>
    <t xml:space="preserve">Annual Amortization Tranche 3</t>
  </si>
  <si>
    <t xml:space="preserve">Period 1</t>
  </si>
  <si>
    <t xml:space="preserve">Principal Payment </t>
  </si>
  <si>
    <t xml:space="preserve">Interest Payment </t>
  </si>
  <si>
    <t xml:space="preserve">Period 2</t>
  </si>
  <si>
    <t xml:space="preserve">Tranche 1 Debt Service</t>
  </si>
  <si>
    <t xml:space="preserve">Tranche 2  Debt Service</t>
  </si>
  <si>
    <t xml:space="preserve">Tranche 3 Debt Service</t>
  </si>
  <si>
    <t xml:space="preserve">     Less Capitalized Interest</t>
  </si>
  <si>
    <t xml:space="preserve">Net Debt Service</t>
  </si>
  <si>
    <t xml:space="preserve">Total Interest Expense</t>
  </si>
  <si>
    <t xml:space="preserve">Cash Principal Payments</t>
  </si>
  <si>
    <t xml:space="preserve">DSCR Fixed Price PPA Period</t>
  </si>
  <si>
    <t xml:space="preserve">Average DSCR </t>
  </si>
  <si>
    <t xml:space="preserve">Minimum DSCR</t>
  </si>
  <si>
    <t xml:space="preserve">Amortization Option</t>
  </si>
  <si>
    <t xml:space="preserve">Custom 1</t>
  </si>
  <si>
    <t xml:space="preserve">Principal Repayments</t>
  </si>
  <si>
    <t xml:space="preserve">Time Factor</t>
  </si>
  <si>
    <t xml:space="preserve">Average Life</t>
  </si>
  <si>
    <t xml:space="preserve">Project Name: Lincoln</t>
  </si>
  <si>
    <t xml:space="preserve">Interest During Construction Calculations</t>
  </si>
  <si>
    <t xml:space="preserve">CARRYING COST OF TURBINES, TRANSFORMERS AND CIRCUIT BREAKERS</t>
  </si>
  <si>
    <t xml:space="preserve">Base Rate</t>
  </si>
  <si>
    <t xml:space="preserve">Term (Months)</t>
  </si>
  <si>
    <t xml:space="preserve">Monthly Rate</t>
  </si>
  <si>
    <t xml:space="preserve">Calculated IDC</t>
  </si>
  <si>
    <t xml:space="preserve">Construction Start Date</t>
  </si>
  <si>
    <t xml:space="preserve">Month</t>
  </si>
  <si>
    <t xml:space="preserve">Percentage Drawn</t>
  </si>
  <si>
    <t xml:space="preserve">Turbine Cost</t>
  </si>
  <si>
    <t xml:space="preserve">Other Cost of Construction</t>
  </si>
  <si>
    <t xml:space="preserve">Principal</t>
  </si>
  <si>
    <t xml:space="preserve">Outstanding Balance</t>
  </si>
  <si>
    <t xml:space="preserve">Monthly Interest</t>
  </si>
  <si>
    <t xml:space="preserve">Cumulative Interest</t>
  </si>
  <si>
    <t xml:space="preserve">Turbine Cost of Carry</t>
  </si>
  <si>
    <t xml:space="preserve">Cost of 1 Turbine</t>
  </si>
  <si>
    <t xml:space="preserve">Cost of Capital for WLB</t>
  </si>
  <si>
    <t xml:space="preserve">='LIBOR+5/8</t>
  </si>
  <si>
    <t xml:space="preserve">Annual</t>
  </si>
  <si>
    <t xml:space="preserve">Daily</t>
  </si>
  <si>
    <t xml:space="preserve">Turbines to be delivered</t>
  </si>
  <si>
    <t xml:space="preserve">Date</t>
  </si>
  <si>
    <t xml:space="preserve">$ per turbine</t>
  </si>
  <si>
    <t xml:space="preserve">PV At Delivery</t>
  </si>
  <si>
    <t xml:space="preserve">DEPRECIATION SCHEDULE</t>
  </si>
  <si>
    <t xml:space="preserve">(Months)</t>
  </si>
  <si>
    <t xml:space="preserve">US FEDERAL TAX DEPRECIATION &amp; AMORTIZATION</t>
  </si>
  <si>
    <t xml:space="preserve">Years</t>
  </si>
  <si>
    <t xml:space="preserve">Total Hard Costs, Capitalized Interests, and Contingency- MACRS</t>
  </si>
  <si>
    <t xml:space="preserve">Transaction Costs</t>
  </si>
  <si>
    <t xml:space="preserve">Total Hard Costs and Capitalized Interests (Land not included)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</si>
  <si>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</si>
  <si>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</si>
  <si>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</si>
  <si>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</si>
  <si>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</si>
  <si>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Total Hard Costs, Capitalized Interests, and Contingency- SL</t>
  </si>
  <si>
    <t xml:space="preserve">Ending Book Value of Assets</t>
  </si>
  <si>
    <t xml:space="preserve">TAXES</t>
  </si>
  <si>
    <t xml:space="preserve">STATE TAXES</t>
  </si>
  <si>
    <t xml:space="preserve">State Income Taxes</t>
  </si>
  <si>
    <t xml:space="preserve">  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</si>
  <si>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</si>
  <si>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</si>
  <si>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</si>
  <si>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</si>
  <si>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</si>
  <si>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</si>
  <si>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</si>
  <si>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NOL's</t>
  </si>
  <si>
    <t xml:space="preserve">   NOL Utilization</t>
  </si>
  <si>
    <t xml:space="preserve">   Ending NOL's</t>
  </si>
  <si>
    <t xml:space="preserve">TOTAL STATE TAXES</t>
  </si>
  <si>
    <t xml:space="preserve">Plus: Supplemental Tax</t>
  </si>
  <si>
    <t xml:space="preserve">        Total State Taxes Utilizing NOLs</t>
  </si>
  <si>
    <t xml:space="preserve">FEDERAL TAXES</t>
  </si>
  <si>
    <t xml:space="preserve">   Less: Federal Tax Depreciation</t>
  </si>
  <si>
    <t xml:space="preserve">   Less: State Taxes</t>
  </si>
  <si>
    <t xml:space="preserve">   Taxable Income</t>
  </si>
  <si>
    <t xml:space="preserve">   Federal Tax Rate</t>
  </si>
  <si>
    <t xml:space="preserve">   Federal Tax Expense/ (Benefit)</t>
  </si>
  <si>
    <t xml:space="preserve">   NOL Carryforward</t>
  </si>
  <si>
    <t xml:space="preserve">   Total Federal Cash Taxes Payable/(Benefit)</t>
  </si>
  <si>
    <t xml:space="preserve">Hedge of Lincoln and OPPD Contracts </t>
  </si>
  <si>
    <t xml:space="preserve">Capacity</t>
  </si>
  <si>
    <t xml:space="preserve">Turbine</t>
  </si>
  <si>
    <t xml:space="preserve">OPPD Contract</t>
  </si>
  <si>
    <t xml:space="preserve">LES Contract</t>
  </si>
  <si>
    <t xml:space="preserve">LES</t>
  </si>
  <si>
    <t xml:space="preserve">Annualized</t>
  </si>
  <si>
    <t xml:space="preserve">Value</t>
  </si>
  <si>
    <t xml:space="preserve">OPPD</t>
  </si>
  <si>
    <t xml:space="preserve">Intrinsic</t>
  </si>
  <si>
    <t xml:space="preserve">Extrinsic</t>
  </si>
  <si>
    <t xml:space="preserve">OPPD Value after Hedge</t>
  </si>
  <si>
    <t xml:space="preserve">Value Captured</t>
  </si>
  <si>
    <t xml:space="preserve">Nominal Total</t>
  </si>
  <si>
    <t xml:space="preserve">Discount</t>
  </si>
  <si>
    <t xml:space="preserve">NPV Total</t>
  </si>
  <si>
    <t xml:space="preserve">LM Assumptions</t>
  </si>
  <si>
    <t xml:space="preserve">Additional Revenue</t>
  </si>
  <si>
    <t xml:space="preserve">Delta from Plants</t>
  </si>
  <si>
    <t xml:space="preserve">HR </t>
  </si>
  <si>
    <t xml:space="preserve">Value from NNG Contract</t>
  </si>
  <si>
    <t xml:space="preserve">VOM </t>
  </si>
  <si>
    <t xml:space="preserve">Basis </t>
  </si>
  <si>
    <t xml:space="preserve"> Net Value Saved</t>
  </si>
  <si>
    <t xml:space="preserve">Gas </t>
  </si>
  <si>
    <t xml:space="preserve">NNG/TOK</t>
  </si>
  <si>
    <t xml:space="preserve">Transport</t>
  </si>
  <si>
    <t xml:space="preserve">Southern MAPP</t>
  </si>
  <si>
    <t xml:space="preserve">Nomial Total</t>
  </si>
  <si>
    <t xml:space="preserve">REFERENCE SHEET</t>
  </si>
  <si>
    <t xml:space="preserve">No.</t>
  </si>
  <si>
    <t xml:space="preserve">Information </t>
  </si>
  <si>
    <t xml:space="preserve">Source</t>
  </si>
</sst>
</file>

<file path=xl/styles.xml><?xml version="1.0" encoding="utf-8"?>
<styleSheet xmlns="http://schemas.openxmlformats.org/spreadsheetml/2006/main">
  <numFmts count="95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_(* #,##0_);_(* \(#,##0\);_(* \-??_);_(@_)"/>
    <numFmt numFmtId="244" formatCode="0.00\x_);\(0.00&quot;x)&quot;"/>
    <numFmt numFmtId="245" formatCode="#,##0.0_);[RED]\(#,##0.0\)"/>
    <numFmt numFmtId="246" formatCode="d\-mmm\-yy"/>
    <numFmt numFmtId="247" formatCode="0.00\x"/>
    <numFmt numFmtId="248" formatCode="[$-409]#,##0.00_);\(#,##0.00\)"/>
    <numFmt numFmtId="249" formatCode="0.000%"/>
    <numFmt numFmtId="250" formatCode="\$#,##0.00_);&quot;($&quot;#,##0.00\)"/>
    <numFmt numFmtId="251" formatCode="0.0"/>
    <numFmt numFmtId="252" formatCode="m/d/yy"/>
    <numFmt numFmtId="253" formatCode="_(* #,##0.0_);_(* \(#,##0.0\);_(* \-??_);_(@_)"/>
    <numFmt numFmtId="254" formatCode="d\-mmm"/>
    <numFmt numFmtId="255" formatCode="\$#,##0_);&quot;($&quot;#,##0\)"/>
    <numFmt numFmtId="256" formatCode="_(\$* #,##0_);_(\$* \(#,##0\);_(\$* \-??_);_(@_)"/>
    <numFmt numFmtId="257" formatCode="0_)"/>
    <numFmt numFmtId="258" formatCode="_(* #,##0.00000_);_(* \(#,##0.00000\);_(* \-??_);_(@_)"/>
  </numFmts>
  <fonts count="1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2"/>
      <name val="Times New Roman"/>
      <family val="1"/>
    </font>
    <font>
      <b val="true"/>
      <sz val="16"/>
      <name val="Times New Roman"/>
      <family val="1"/>
    </font>
    <font>
      <u val="single"/>
      <sz val="12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8"/>
      <color rgb="FFFF0000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i val="true"/>
      <u val="single"/>
      <sz val="12"/>
      <name val="Times New Roman"/>
      <family val="1"/>
    </font>
    <font>
      <b val="true"/>
      <sz val="12"/>
      <color rgb="FF0000FF"/>
      <name val="Times New Roman"/>
      <family val="1"/>
    </font>
    <font>
      <i val="true"/>
      <sz val="12"/>
      <name val="Times New Roman"/>
      <family val="1"/>
    </font>
    <font>
      <sz val="12"/>
      <color rgb="FFFF0000"/>
      <name val="Times New Roman"/>
      <family val="1"/>
    </font>
    <font>
      <i val="true"/>
      <sz val="10"/>
      <name val="Times New Roman"/>
      <family val="1"/>
    </font>
    <font>
      <b val="true"/>
      <u val="single"/>
      <sz val="12"/>
      <color rgb="FF000000"/>
      <name val="Times New Roman"/>
      <family val="1"/>
    </font>
    <font>
      <sz val="12"/>
      <color rgb="FF000000"/>
      <name val="Times New Roman"/>
      <family val="1"/>
    </font>
    <font>
      <b val="true"/>
      <u val="single"/>
      <sz val="12"/>
      <color rgb="FF0000FF"/>
      <name val="Times New Roman"/>
      <family val="1"/>
    </font>
    <font>
      <b val="true"/>
      <sz val="10"/>
      <name val="Times New Roman"/>
      <family val="1"/>
    </font>
    <font>
      <b val="true"/>
      <i val="true"/>
      <sz val="12"/>
      <name val="Times New Roman"/>
      <family val="1"/>
    </font>
    <font>
      <b val="true"/>
      <sz val="12"/>
      <color rgb="FF000000"/>
      <name val="Times New Roman"/>
      <family val="1"/>
    </font>
    <font>
      <i val="true"/>
      <sz val="10"/>
      <name val="Arial"/>
      <family val="2"/>
    </font>
    <font>
      <u val="single"/>
      <sz val="10"/>
      <name val="Times New Roman"/>
      <family val="1"/>
    </font>
    <font>
      <sz val="7"/>
      <name val="times new roman"/>
      <family val="1"/>
    </font>
    <font>
      <b val="true"/>
      <sz val="10"/>
      <color rgb="FF80008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Times New Roman"/>
      <family val="1"/>
    </font>
    <font>
      <b val="true"/>
      <sz val="12"/>
      <name val="Arial"/>
      <family val="2"/>
    </font>
    <font>
      <b val="true"/>
      <u val="single"/>
      <sz val="10"/>
      <name val="Times New Roman"/>
      <family val="1"/>
    </font>
    <font>
      <b val="true"/>
      <u val="single"/>
      <sz val="14"/>
      <name val="Times New Roman"/>
      <family val="1"/>
    </font>
    <font>
      <b val="true"/>
      <sz val="10"/>
      <color rgb="FF0000FF"/>
      <name val="Arial"/>
      <family val="2"/>
    </font>
    <font>
      <u val="single"/>
      <sz val="10"/>
      <name val="Arial"/>
      <family val="2"/>
    </font>
    <font>
      <u val="single"/>
      <sz val="10"/>
      <name val="Arial"/>
      <family val="0"/>
    </font>
    <font>
      <b val="true"/>
      <sz val="10"/>
      <color rgb="FF00000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0000FF"/>
      <name val="Times New Roman"/>
      <family val="1"/>
    </font>
    <font>
      <i val="true"/>
      <sz val="10"/>
      <color rgb="FFFF0000"/>
      <name val="Times New Roman"/>
      <family val="1"/>
    </font>
    <font>
      <sz val="10"/>
      <color rgb="FFFF0000"/>
      <name val="Times New Roman"/>
      <family val="1"/>
    </font>
    <font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Arial MT"/>
      <family val="0"/>
    </font>
    <font>
      <b val="true"/>
      <i val="true"/>
      <sz val="8"/>
      <color rgb="FF000000"/>
      <name val="Times New Roman"/>
      <family val="1"/>
    </font>
    <font>
      <sz val="8"/>
      <color rgb="FF000000"/>
      <name val="P-TIMES"/>
      <family val="0"/>
    </font>
    <font>
      <b val="true"/>
      <sz val="8"/>
      <color rgb="FF000000"/>
      <name val="Times New Roman"/>
      <family val="1"/>
    </font>
    <font>
      <b val="true"/>
      <sz val="8"/>
      <color rgb="FF0000FF"/>
      <name val="Times New Roman"/>
      <family val="1"/>
    </font>
    <font>
      <b val="true"/>
      <sz val="8"/>
      <color rgb="FFFF0000"/>
      <name val="Times New Roman"/>
      <family val="1"/>
    </font>
    <font>
      <sz val="8"/>
      <color rgb="FF0000FF"/>
      <name val="Times New Roman"/>
      <family val="1"/>
    </font>
    <font>
      <sz val="10"/>
      <color rgb="FF0000FF"/>
      <name val="Times New Roman"/>
      <family val="1"/>
    </font>
    <font>
      <sz val="8"/>
      <color rgb="FF0000FF"/>
      <name val="P-TIMES"/>
      <family val="0"/>
    </font>
    <font>
      <sz val="8"/>
      <color rgb="FF000000"/>
      <name val="Tahoma"/>
      <family val="2"/>
    </font>
    <font>
      <sz val="10"/>
      <color rgb="FFFFFFFF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14"/>
      <color rgb="FF00000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sz val="8"/>
      <name val="Times New Roman"/>
      <family val="1"/>
    </font>
    <font>
      <b val="true"/>
      <sz val="18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9CCFF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99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E3E3E3"/>
        <bgColor rgb="FFCCFFCC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6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32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32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32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59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5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5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5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32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32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9" fillId="8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5" fontId="5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9" fillId="8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6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5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7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69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9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6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3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9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4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7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5" fillId="8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9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3" fontId="69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6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6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9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5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6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0" fontId="69" fillId="8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3" fontId="2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5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66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69" fillId="8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9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59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59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69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7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8" fontId="3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6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69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75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1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69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9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69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32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9" fillId="8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5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69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69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1" fontId="78" fillId="0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6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9" fillId="8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6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32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7" fontId="69" fillId="8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3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0" fontId="6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69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2" fontId="7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84" fillId="1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7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76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8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8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8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1" fontId="8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3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14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239" fontId="0" fillId="0" borderId="2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83" fillId="11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7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6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7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9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76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76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6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7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93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7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28" fillId="8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8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38" fontId="28" fillId="8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8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4" fontId="86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4" fontId="8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231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9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91" fillId="0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91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9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4" fontId="9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9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4" fontId="9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7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0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9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60" fillId="0" borderId="22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60" fillId="0" borderId="29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2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131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1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27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0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22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29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29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103" fillId="0" borderId="2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104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24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103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10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102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102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103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102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24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24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103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102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98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103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26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27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102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26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102" fillId="0" borderId="27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7" fontId="98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99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27" fontId="57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102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2" fontId="102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98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2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2" fillId="0" borderId="2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225" fontId="102" fillId="0" borderId="2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2" fillId="0" borderId="32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3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3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2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8" fillId="0" borderId="33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98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105" fillId="0" borderId="3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98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5" fontId="98" fillId="0" borderId="33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98" fillId="0" borderId="25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9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8" fillId="0" borderId="34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5" fontId="98" fillId="0" borderId="34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98" fillId="0" borderId="27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106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10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1" fontId="106" fillId="8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106" fillId="8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3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43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1" fontId="98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101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105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107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2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98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101" fillId="0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5" fontId="98" fillId="0" borderId="0" xfId="131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110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7" fontId="1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57" fontId="1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8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9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28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9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8" fontId="9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6" fontId="9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3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95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2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2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3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8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10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76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76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76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1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16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1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116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1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6" fontId="116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9" fillId="7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116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9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116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1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11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11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15" fontId="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6" fontId="0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6" fontId="116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9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1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1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8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8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1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8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3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0" fillId="7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8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68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externalLink" Target="externalLinks/externalLink1.xml"/><Relationship Id="rId18" Type="http://schemas.openxmlformats.org/officeDocument/2006/relationships/externalLink" Target="externalLinks/externalLink2.xml"/><Relationship Id="rId19" Type="http://schemas.openxmlformats.org/officeDocument/2006/relationships/externalLink" Target="externalLinks/externalLink3.xml"/><Relationship Id="rId20" Type="http://schemas.openxmlformats.org/officeDocument/2006/relationships/externalLink" Target="externalLinks/externalLink4.xml"/><Relationship Id="rId21" Type="http://schemas.openxmlformats.org/officeDocument/2006/relationships/externalLink" Target="externalLinks/externalLink5.xml"/><Relationship Id="rId2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47520</xdr:rowOff>
        </xdr:from>
        <xdr:to>
          <xdr:col>2</xdr:col>
          <xdr:colOff>-118440</xdr:colOff>
          <xdr:row>6</xdr:row>
          <xdr:rowOff>47880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9360</xdr:rowOff>
        </xdr:from>
        <xdr:to>
          <xdr:col>2</xdr:col>
          <xdr:colOff>-128880</xdr:colOff>
          <xdr:row>9</xdr:row>
          <xdr:rowOff>29160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190800</xdr:rowOff>
        </xdr:from>
        <xdr:to>
          <xdr:col>2</xdr:col>
          <xdr:colOff>-128880</xdr:colOff>
          <xdr:row>10</xdr:row>
          <xdr:rowOff>199800</xdr:rowOff>
        </xdr:to>
        <xdr:sp>
          <xdr:nvSpPr>
            <xdr:cNvPr id="0" name="Drop Down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11</xdr:row>
          <xdr:rowOff>181440</xdr:rowOff>
        </xdr:from>
        <xdr:to>
          <xdr:col>2</xdr:col>
          <xdr:colOff>-128880</xdr:colOff>
          <xdr:row>12</xdr:row>
          <xdr:rowOff>190800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rownsville_012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se_0124(2)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eset Scenarios"/>
      <sheetName val="Tracking Sheet"/>
      <sheetName val="Scenarios"/>
      <sheetName val="Assumptions"/>
      <sheetName val="Power Price Assumption"/>
      <sheetName val="IS"/>
      <sheetName val="Return Analysis"/>
      <sheetName val="CF"/>
      <sheetName val="Debt"/>
      <sheetName val="IDC"/>
      <sheetName val="Depreciation"/>
      <sheetName val="Tax"/>
      <sheetName val="Observations"/>
    </sheetNames>
    <sheetDataSet>
      <sheetData sheetId="0"/>
      <sheetData sheetId="1"/>
      <sheetData sheetId="2"/>
      <sheetData sheetId="3">
        <row r="17">
          <cell r="J17">
            <v>8.02191780821918</v>
          </cell>
        </row>
        <row r="59">
          <cell r="E59">
            <v>36739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636.663543343231</v>
          </cell>
          <cell r="U30">
            <v>636.663543343231</v>
          </cell>
          <cell r="V30">
            <v>639.363543343231</v>
          </cell>
          <cell r="W30">
            <v>639.363543343231</v>
          </cell>
          <cell r="X30">
            <v>639.363543343231</v>
          </cell>
          <cell r="Y30">
            <v>639.363543343231</v>
          </cell>
          <cell r="Z30">
            <v>639.363543343231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2522.03359855472</v>
          </cell>
          <cell r="U46">
            <v>3491.03842933205</v>
          </cell>
          <cell r="V46">
            <v>3505.84342933205</v>
          </cell>
          <cell r="W46">
            <v>3505.84342933205</v>
          </cell>
          <cell r="X46">
            <v>3505.84342933205</v>
          </cell>
          <cell r="Y46">
            <v>3505.84342933205</v>
          </cell>
          <cell r="Z46">
            <v>3505.84342933205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</sheetData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xir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X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7.99"/>
    <col collapsed="false" customWidth="true" hidden="false" outlineLevel="0" max="2" min="2" style="1" width="24.99"/>
    <col collapsed="false" customWidth="true" hidden="false" outlineLevel="0" max="6" min="3" style="1" width="25.28"/>
    <col collapsed="false" customWidth="true" hidden="false" outlineLevel="0" max="7" min="7" style="1" width="11.56"/>
    <col collapsed="false" customWidth="true" hidden="false" outlineLevel="0" max="8" min="8" style="1" width="17.85"/>
    <col collapsed="false" customWidth="false" hidden="false" outlineLevel="0" max="15" min="9" style="1" width="9.14"/>
    <col collapsed="false" customWidth="true" hidden="false" outlineLevel="0" max="16" min="16" style="1" width="23.14"/>
    <col collapsed="false" customWidth="true" hidden="false" outlineLevel="0" max="17" min="17" style="1" width="38.56"/>
    <col collapsed="false" customWidth="true" hidden="false" outlineLevel="0" max="18" min="18" style="1" width="11.56"/>
    <col collapsed="false" customWidth="true" hidden="false" outlineLevel="0" max="19" min="19" style="1" width="22.7"/>
    <col collapsed="false" customWidth="false" hidden="false" outlineLevel="0" max="257" min="20" style="1" width="9.14"/>
  </cols>
  <sheetData>
    <row r="2" customFormat="false" ht="18.75" hidden="false" customHeight="false" outlineLevel="0" collapsed="false">
      <c r="A2" s="2" t="s">
        <v>0</v>
      </c>
      <c r="B2" s="3"/>
      <c r="C2" s="3"/>
      <c r="D2" s="3"/>
      <c r="E2" s="3"/>
      <c r="F2" s="3"/>
      <c r="G2" s="4"/>
      <c r="H2" s="4"/>
      <c r="I2" s="4"/>
      <c r="J2" s="5"/>
      <c r="K2" s="5"/>
      <c r="L2" s="5"/>
    </row>
    <row r="3" customFormat="false" ht="18.75" hidden="false" customHeight="false" outlineLevel="0" collapsed="false">
      <c r="A3" s="6"/>
      <c r="B3" s="6"/>
      <c r="C3" s="6"/>
      <c r="D3" s="6"/>
      <c r="E3" s="6"/>
      <c r="F3" s="6"/>
      <c r="G3" s="6"/>
      <c r="H3" s="6"/>
      <c r="I3" s="6"/>
    </row>
    <row r="4" customFormat="false" ht="20.25" hidden="false" customHeight="false" outlineLevel="0" collapsed="false">
      <c r="B4" s="7"/>
      <c r="C4" s="7"/>
      <c r="D4" s="7"/>
      <c r="E4" s="7"/>
    </row>
    <row r="5" customFormat="false" ht="15.75" hidden="false" customHeight="false" outlineLevel="0" collapsed="false">
      <c r="A5" s="8"/>
      <c r="B5" s="8"/>
      <c r="C5" s="8"/>
      <c r="D5" s="8"/>
      <c r="T5" s="5"/>
      <c r="U5" s="5"/>
    </row>
    <row r="6" customFormat="false" ht="15.75" hidden="false" customHeight="false" outlineLevel="0" collapsed="false">
      <c r="A6" s="9" t="s">
        <v>1</v>
      </c>
      <c r="B6" s="9"/>
      <c r="C6" s="9"/>
      <c r="D6" s="9"/>
      <c r="E6" s="4"/>
      <c r="F6" s="5"/>
      <c r="G6" s="5"/>
      <c r="H6" s="5"/>
      <c r="I6" s="5"/>
      <c r="J6" s="5"/>
      <c r="K6" s="5"/>
      <c r="L6" s="5"/>
      <c r="M6" s="5"/>
      <c r="N6" s="5"/>
      <c r="T6" s="5"/>
      <c r="U6" s="5"/>
      <c r="V6" s="5"/>
      <c r="W6" s="5"/>
      <c r="X6" s="5"/>
    </row>
    <row r="7" customFormat="false" ht="15.75" hidden="false" customHeight="false" outlineLevel="0" collapsed="false">
      <c r="A7" s="8" t="s">
        <v>2</v>
      </c>
      <c r="B7" s="9"/>
      <c r="C7" s="9"/>
      <c r="D7" s="9"/>
      <c r="E7" s="4"/>
      <c r="F7" s="5"/>
      <c r="G7" s="5"/>
      <c r="H7" s="5"/>
      <c r="I7" s="5"/>
      <c r="J7" s="5"/>
      <c r="K7" s="5"/>
      <c r="L7" s="5"/>
      <c r="M7" s="5"/>
      <c r="N7" s="5"/>
      <c r="T7" s="5"/>
      <c r="U7" s="5"/>
      <c r="V7" s="5"/>
      <c r="W7" s="5"/>
      <c r="X7" s="5"/>
    </row>
    <row r="8" customFormat="false" ht="15.75" hidden="false" customHeight="false" outlineLevel="0" collapsed="false">
      <c r="A8" s="9"/>
      <c r="B8" s="9"/>
      <c r="C8" s="9"/>
      <c r="D8" s="9"/>
      <c r="E8" s="4"/>
      <c r="F8" s="5"/>
      <c r="G8" s="5"/>
      <c r="H8" s="5"/>
      <c r="I8" s="5"/>
      <c r="J8" s="5"/>
      <c r="K8" s="5"/>
      <c r="L8" s="5"/>
      <c r="M8" s="5"/>
      <c r="N8" s="5"/>
      <c r="T8" s="5"/>
      <c r="U8" s="5"/>
      <c r="V8" s="5"/>
      <c r="W8" s="5"/>
      <c r="X8" s="5"/>
    </row>
    <row r="9" customFormat="false" ht="15.75" hidden="false" customHeight="false" outlineLevel="0" collapsed="false">
      <c r="A9" s="9" t="s">
        <v>3</v>
      </c>
      <c r="B9" s="9"/>
      <c r="C9" s="9"/>
      <c r="D9" s="9"/>
      <c r="E9" s="4"/>
      <c r="F9" s="5"/>
      <c r="G9" s="5"/>
      <c r="H9" s="5"/>
      <c r="I9" s="5"/>
      <c r="J9" s="5"/>
      <c r="K9" s="5"/>
      <c r="L9" s="5"/>
      <c r="M9" s="5"/>
      <c r="N9" s="5"/>
      <c r="T9" s="5"/>
      <c r="U9" s="5"/>
      <c r="V9" s="5"/>
      <c r="W9" s="5"/>
      <c r="X9" s="5"/>
    </row>
    <row r="10" customFormat="false" ht="15.75" hidden="false" customHeight="false" outlineLevel="0" collapsed="false">
      <c r="A10" s="9"/>
      <c r="B10" s="9"/>
      <c r="C10" s="9"/>
      <c r="D10" s="9"/>
      <c r="E10" s="4"/>
      <c r="F10" s="5"/>
      <c r="G10" s="5"/>
      <c r="H10" s="5"/>
      <c r="I10" s="5"/>
      <c r="J10" s="5"/>
      <c r="K10" s="5"/>
      <c r="L10" s="5"/>
      <c r="M10" s="5"/>
      <c r="N10" s="5"/>
      <c r="T10" s="5"/>
      <c r="U10" s="5"/>
      <c r="V10" s="5"/>
      <c r="W10" s="5"/>
      <c r="X10" s="5"/>
    </row>
    <row r="11" customFormat="false" ht="15.75" hidden="false" customHeight="false" outlineLevel="0" collapsed="false">
      <c r="A11" s="9" t="s">
        <v>4</v>
      </c>
      <c r="B11" s="9"/>
      <c r="C11" s="9"/>
      <c r="D11" s="9"/>
      <c r="E11" s="4"/>
      <c r="F11" s="5"/>
      <c r="G11" s="5"/>
      <c r="H11" s="5"/>
      <c r="I11" s="5"/>
      <c r="J11" s="5"/>
      <c r="K11" s="5"/>
      <c r="L11" s="5"/>
      <c r="M11" s="5"/>
      <c r="N11" s="5"/>
      <c r="T11" s="5"/>
      <c r="U11" s="5"/>
      <c r="V11" s="5"/>
      <c r="W11" s="5"/>
      <c r="X11" s="5"/>
    </row>
    <row r="12" customFormat="false" ht="15.75" hidden="false" customHeight="false" outlineLevel="0" collapsed="false">
      <c r="A12" s="9"/>
      <c r="B12" s="9"/>
      <c r="C12" s="9"/>
      <c r="D12" s="9"/>
      <c r="E12" s="4"/>
      <c r="F12" s="5"/>
      <c r="G12" s="5"/>
      <c r="H12" s="5"/>
      <c r="I12" s="5"/>
      <c r="J12" s="5"/>
      <c r="K12" s="5"/>
      <c r="L12" s="5"/>
      <c r="M12" s="5"/>
      <c r="N12" s="5"/>
      <c r="T12" s="5"/>
      <c r="U12" s="5"/>
      <c r="V12" s="5"/>
      <c r="W12" s="5"/>
      <c r="X12" s="5"/>
    </row>
    <row r="13" customFormat="false" ht="16.5" hidden="false" customHeight="false" outlineLevel="0" collapsed="false">
      <c r="A13" s="9" t="s">
        <v>5</v>
      </c>
      <c r="B13" s="9"/>
      <c r="C13" s="9"/>
      <c r="D13" s="9"/>
      <c r="E13" s="4"/>
      <c r="F13" s="5"/>
      <c r="G13" s="5"/>
      <c r="H13" s="5"/>
      <c r="I13" s="5"/>
      <c r="J13" s="5"/>
      <c r="K13" s="5"/>
      <c r="L13" s="5"/>
      <c r="M13" s="5"/>
      <c r="N13" s="5"/>
      <c r="T13" s="5"/>
      <c r="U13" s="5"/>
      <c r="V13" s="5"/>
      <c r="W13" s="5"/>
      <c r="X13" s="5"/>
    </row>
    <row r="14" customFormat="false" ht="15.75" hidden="false" customHeight="false" outlineLevel="0" collapsed="false">
      <c r="A14" s="10" t="s">
        <v>6</v>
      </c>
      <c r="B14" s="11"/>
      <c r="C14" s="12"/>
      <c r="D14" s="12"/>
      <c r="E14" s="13"/>
      <c r="G14" s="5"/>
      <c r="H14" s="0"/>
      <c r="I14" s="0"/>
      <c r="J14" s="0"/>
      <c r="K14" s="0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customFormat="false" ht="15.75" hidden="false" customHeight="false" outlineLevel="0" collapsed="false">
      <c r="A15" s="14"/>
      <c r="B15" s="15"/>
      <c r="C15" s="15"/>
      <c r="D15" s="15"/>
      <c r="E15" s="16"/>
      <c r="G15" s="5"/>
      <c r="H15" s="0"/>
      <c r="I15" s="0"/>
      <c r="J15" s="0"/>
      <c r="K15" s="0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customFormat="false" ht="15.75" hidden="false" customHeight="false" outlineLevel="0" collapsed="false">
      <c r="A16" s="17" t="s">
        <v>7</v>
      </c>
      <c r="B16" s="18" t="s">
        <v>8</v>
      </c>
      <c r="C16" s="18" t="s">
        <v>9</v>
      </c>
      <c r="D16" s="18" t="s">
        <v>4</v>
      </c>
      <c r="E16" s="19" t="s">
        <v>10</v>
      </c>
      <c r="G16" s="5"/>
      <c r="H16" s="0"/>
      <c r="I16" s="0"/>
      <c r="J16" s="0"/>
      <c r="K16" s="0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customFormat="false" ht="15.75" hidden="false" customHeight="false" outlineLevel="0" collapsed="false">
      <c r="A17" s="14"/>
      <c r="B17" s="15" t="n">
        <v>3</v>
      </c>
      <c r="C17" s="20" t="n">
        <v>1</v>
      </c>
      <c r="D17" s="15" t="n">
        <v>2</v>
      </c>
      <c r="E17" s="16" t="n">
        <v>1</v>
      </c>
      <c r="G17" s="5"/>
      <c r="H17" s="0"/>
      <c r="I17" s="0"/>
      <c r="J17" s="0"/>
      <c r="K17" s="0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customFormat="false" ht="15.75" hidden="false" customHeight="false" outlineLevel="0" collapsed="false">
      <c r="A18" s="14"/>
      <c r="B18" s="15"/>
      <c r="C18" s="20"/>
      <c r="D18" s="15"/>
      <c r="E18" s="16"/>
      <c r="G18" s="5"/>
      <c r="H18" s="0"/>
      <c r="I18" s="0"/>
      <c r="J18" s="0"/>
      <c r="K18" s="0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customFormat="false" ht="15.75" hidden="false" customHeight="false" outlineLevel="0" collapsed="false">
      <c r="A19" s="14" t="n">
        <v>1</v>
      </c>
      <c r="B19" s="21" t="n">
        <v>0</v>
      </c>
      <c r="C19" s="22" t="n">
        <v>1</v>
      </c>
      <c r="D19" s="15" t="n">
        <v>0</v>
      </c>
      <c r="E19" s="23" t="s">
        <v>11</v>
      </c>
      <c r="G19" s="5"/>
      <c r="H19" s="0"/>
      <c r="I19" s="0"/>
      <c r="J19" s="0"/>
      <c r="K19" s="0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customFormat="false" ht="15.75" hidden="false" customHeight="false" outlineLevel="0" collapsed="false">
      <c r="A20" s="14" t="n">
        <v>2</v>
      </c>
      <c r="B20" s="21" t="n">
        <v>0.015</v>
      </c>
      <c r="C20" s="22" t="n">
        <v>1.1</v>
      </c>
      <c r="D20" s="15" t="n">
        <v>120</v>
      </c>
      <c r="E20" s="23" t="s">
        <v>12</v>
      </c>
      <c r="G20" s="5"/>
      <c r="H20" s="0"/>
      <c r="I20" s="0"/>
      <c r="J20" s="0"/>
      <c r="K20" s="0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customFormat="false" ht="15.75" hidden="false" customHeight="false" outlineLevel="0" collapsed="false">
      <c r="A21" s="14" t="n">
        <v>3</v>
      </c>
      <c r="B21" s="21" t="n">
        <v>0.03</v>
      </c>
      <c r="C21" s="15"/>
      <c r="D21" s="15"/>
      <c r="E21" s="23" t="s">
        <v>13</v>
      </c>
      <c r="G21" s="5"/>
      <c r="H21" s="0"/>
      <c r="I21" s="0"/>
      <c r="J21" s="0"/>
      <c r="K21" s="0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customFormat="false" ht="15.75" hidden="false" customHeight="false" outlineLevel="0" collapsed="false">
      <c r="A22" s="14" t="n">
        <v>4</v>
      </c>
      <c r="B22" s="21" t="n">
        <v>0.045</v>
      </c>
      <c r="C22" s="15"/>
      <c r="D22" s="15"/>
      <c r="E22" s="23"/>
      <c r="G22" s="5"/>
      <c r="H22" s="0"/>
      <c r="I22" s="0"/>
      <c r="J22" s="0"/>
      <c r="K22" s="0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customFormat="false" ht="16.5" hidden="false" customHeight="false" outlineLevel="0" collapsed="false">
      <c r="A23" s="24" t="s">
        <v>14</v>
      </c>
      <c r="B23" s="25" t="n">
        <f aca="false">INDEX(B19:B22,B17)</f>
        <v>0.03</v>
      </c>
      <c r="C23" s="26" t="n">
        <f aca="false">INDEX(C19:C22,C17)</f>
        <v>1</v>
      </c>
      <c r="D23" s="27" t="n">
        <f aca="false">INDEX(D19:D22,D17)</f>
        <v>120</v>
      </c>
      <c r="E23" s="28" t="str">
        <f aca="false">INDEX(E19:E22,E17)</f>
        <v>Base</v>
      </c>
      <c r="G23" s="5"/>
      <c r="H23" s="0"/>
      <c r="I23" s="0"/>
      <c r="J23" s="0"/>
      <c r="K23" s="0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customFormat="false" ht="15.75" hidden="false" customHeight="false" outlineLevel="0" collapsed="false">
      <c r="A24" s="29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T24" s="5"/>
      <c r="U24" s="5"/>
      <c r="V24" s="5"/>
      <c r="W24" s="5"/>
      <c r="X24" s="5"/>
    </row>
    <row r="25" customFormat="false" ht="16.5" hidden="false" customHeight="false" outlineLevel="0" collapsed="false">
      <c r="A25" s="29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T25" s="5"/>
      <c r="U25" s="5"/>
      <c r="V25" s="5"/>
      <c r="W25" s="5"/>
      <c r="X25" s="5"/>
    </row>
    <row r="26" customFormat="false" ht="20.25" hidden="false" customHeight="false" outlineLevel="0" collapsed="false">
      <c r="A26" s="30"/>
      <c r="B26" s="11"/>
      <c r="C26" s="31" t="s">
        <v>15</v>
      </c>
      <c r="D26" s="32" t="s">
        <v>16</v>
      </c>
      <c r="E26" s="33"/>
      <c r="F26" s="34"/>
      <c r="G26" s="34"/>
      <c r="H26" s="5"/>
      <c r="I26" s="5"/>
      <c r="J26" s="5"/>
      <c r="K26" s="5"/>
      <c r="L26" s="5"/>
      <c r="M26" s="5"/>
      <c r="N26" s="5"/>
      <c r="T26" s="5"/>
      <c r="U26" s="5"/>
      <c r="V26" s="5"/>
      <c r="W26" s="5"/>
      <c r="X26" s="5"/>
    </row>
    <row r="27" customFormat="false" ht="16.5" hidden="false" customHeight="false" outlineLevel="0" collapsed="false">
      <c r="A27" s="35"/>
      <c r="B27" s="36"/>
      <c r="C27" s="37" t="s">
        <v>17</v>
      </c>
      <c r="D27" s="37" t="s">
        <v>18</v>
      </c>
      <c r="E27" s="38" t="s">
        <v>19</v>
      </c>
      <c r="F27" s="39"/>
      <c r="G27" s="39"/>
      <c r="H27" s="0"/>
      <c r="I27" s="0"/>
      <c r="J27" s="0"/>
      <c r="K27" s="0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customFormat="false" ht="16.5" hidden="false" customHeight="false" outlineLevel="0" collapsed="false">
      <c r="A28" s="40" t="s">
        <v>20</v>
      </c>
      <c r="B28" s="41"/>
      <c r="C28" s="42" t="e">
        <f aca="false">#REF!</f>
        <v>#REF!</v>
      </c>
      <c r="D28" s="43" t="n">
        <f aca="false">Debt!J93</f>
        <v>0</v>
      </c>
      <c r="E28" s="44" t="n">
        <f aca="false">Debt!J92</f>
        <v>0</v>
      </c>
      <c r="F28" s="39"/>
      <c r="G28" s="39"/>
      <c r="H28" s="0"/>
      <c r="I28" s="0"/>
      <c r="J28" s="0"/>
      <c r="K28" s="0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customFormat="false" ht="15.75" hidden="false" customHeight="false" outlineLevel="0" collapsed="false">
      <c r="H29" s="0"/>
      <c r="I29" s="0"/>
      <c r="J29" s="0"/>
      <c r="K29" s="0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customFormat="false" ht="15.75" hidden="false" customHeight="false" outlineLevel="0" collapsed="false">
      <c r="A30" s="0"/>
      <c r="B30" s="0"/>
      <c r="C30" s="0"/>
      <c r="D30" s="0"/>
      <c r="E30" s="0"/>
      <c r="H30" s="0"/>
      <c r="I30" s="0"/>
      <c r="J30" s="0"/>
      <c r="K30" s="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customFormat="false" ht="13.5" hidden="false" customHeight="false" outlineLevel="0" collapsed="false">
      <c r="A31" s="0"/>
      <c r="B31" s="0"/>
      <c r="C31" s="0"/>
      <c r="D31" s="0"/>
      <c r="E31" s="0"/>
    </row>
    <row r="32" customFormat="false" ht="15.75" hidden="false" customHeight="false" outlineLevel="0" collapsed="false">
      <c r="A32" s="45" t="s">
        <v>21</v>
      </c>
      <c r="B32" s="11"/>
      <c r="C32" s="31" t="s">
        <v>15</v>
      </c>
      <c r="D32" s="32" t="s">
        <v>16</v>
      </c>
      <c r="E32" s="33"/>
    </row>
    <row r="33" customFormat="false" ht="16.5" hidden="false" customHeight="false" outlineLevel="0" collapsed="false">
      <c r="A33" s="46" t="s">
        <v>22</v>
      </c>
      <c r="B33" s="34" t="s">
        <v>23</v>
      </c>
      <c r="C33" s="34" t="s">
        <v>17</v>
      </c>
      <c r="D33" s="34" t="s">
        <v>18</v>
      </c>
      <c r="E33" s="47" t="s">
        <v>19</v>
      </c>
    </row>
    <row r="34" customFormat="false" ht="15.75" hidden="false" customHeight="false" outlineLevel="0" collapsed="false">
      <c r="A34" s="48"/>
      <c r="B34" s="11"/>
      <c r="C34" s="49"/>
      <c r="D34" s="50"/>
      <c r="E34" s="51"/>
    </row>
    <row r="35" customFormat="false" ht="12.75" hidden="false" customHeight="false" outlineLevel="0" collapsed="false">
      <c r="A35" s="52"/>
      <c r="B35" s="39"/>
      <c r="C35" s="39"/>
      <c r="D35" s="39"/>
      <c r="E35" s="53"/>
    </row>
    <row r="36" customFormat="false" ht="12.75" hidden="false" customHeight="false" outlineLevel="0" collapsed="false">
      <c r="A36" s="52"/>
      <c r="B36" s="39"/>
      <c r="C36" s="39"/>
      <c r="D36" s="39"/>
      <c r="E36" s="53"/>
    </row>
    <row r="37" customFormat="false" ht="12.75" hidden="false" customHeight="false" outlineLevel="0" collapsed="false">
      <c r="A37" s="52"/>
      <c r="B37" s="39"/>
      <c r="C37" s="39"/>
      <c r="D37" s="39"/>
      <c r="E37" s="53"/>
    </row>
    <row r="38" customFormat="false" ht="13.5" hidden="false" customHeight="false" outlineLevel="0" collapsed="false">
      <c r="A38" s="54"/>
      <c r="B38" s="36"/>
      <c r="C38" s="36"/>
      <c r="D38" s="36"/>
      <c r="E38" s="5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&amp;L&amp;T, &amp;D&amp;C&amp;F&amp;RPage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31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18" activeCellId="0" sqref="E18"/>
    </sheetView>
  </sheetViews>
  <sheetFormatPr defaultColWidth="10.5625" defaultRowHeight="11.25" customHeight="true" zeroHeight="false" outlineLevelRow="0" outlineLevelCol="0"/>
  <cols>
    <col collapsed="false" customWidth="true" hidden="false" outlineLevel="0" max="1" min="1" style="434" width="13.41"/>
    <col collapsed="false" customWidth="false" hidden="false" outlineLevel="0" max="2" min="2" style="434" width="10.56"/>
    <col collapsed="false" customWidth="true" hidden="false" outlineLevel="0" max="3" min="3" style="434" width="18.28"/>
    <col collapsed="false" customWidth="true" hidden="false" outlineLevel="0" max="4" min="4" style="434" width="16.99"/>
    <col collapsed="false" customWidth="true" hidden="false" outlineLevel="0" max="5" min="5" style="434" width="19.14"/>
    <col collapsed="false" customWidth="true" hidden="false" outlineLevel="0" max="6" min="6" style="434" width="18.14"/>
    <col collapsed="false" customWidth="true" hidden="false" outlineLevel="0" max="8" min="7" style="434" width="16.99"/>
    <col collapsed="false" customWidth="true" hidden="false" outlineLevel="0" max="9" min="9" style="434" width="16.13"/>
    <col collapsed="false" customWidth="false" hidden="false" outlineLevel="0" max="16" min="10" style="434" width="10.56"/>
    <col collapsed="false" customWidth="false" hidden="false" outlineLevel="0" max="257" min="17" style="435" width="10.56"/>
  </cols>
  <sheetData>
    <row r="1" customFormat="false" ht="20.25" hidden="false" customHeight="false" outlineLevel="0" collapsed="false">
      <c r="A1" s="436" t="s">
        <v>342</v>
      </c>
      <c r="B1" s="437"/>
      <c r="C1" s="438"/>
      <c r="D1" s="439"/>
      <c r="E1" s="440"/>
      <c r="F1" s="441"/>
      <c r="G1" s="442"/>
      <c r="Q1" s="443"/>
      <c r="R1" s="443"/>
    </row>
    <row r="2" customFormat="false" ht="12.75" hidden="false" customHeight="false" outlineLevel="0" collapsed="false">
      <c r="A2" s="444" t="s">
        <v>343</v>
      </c>
      <c r="B2" s="445"/>
      <c r="C2" s="446"/>
      <c r="D2" s="447"/>
      <c r="E2" s="440"/>
      <c r="F2" s="441"/>
      <c r="G2" s="442"/>
      <c r="Q2" s="443"/>
      <c r="R2" s="443"/>
    </row>
    <row r="3" customFormat="false" ht="12.75" hidden="false" customHeight="false" outlineLevel="0" collapsed="false">
      <c r="A3" s="304"/>
      <c r="B3" s="304"/>
      <c r="C3" s="185"/>
      <c r="D3" s="441"/>
      <c r="E3" s="441"/>
      <c r="F3" s="441"/>
      <c r="G3" s="442"/>
      <c r="Q3" s="443"/>
      <c r="R3" s="443"/>
    </row>
    <row r="4" customFormat="false" ht="11.45" hidden="false" customHeight="true" outlineLevel="0" collapsed="false">
      <c r="A4" s="448" t="s">
        <v>344</v>
      </c>
      <c r="B4" s="448"/>
      <c r="C4" s="441"/>
      <c r="D4" s="441"/>
      <c r="E4" s="441"/>
      <c r="F4" s="441"/>
      <c r="G4" s="442"/>
      <c r="Q4" s="443"/>
      <c r="R4" s="443"/>
    </row>
    <row r="5" customFormat="false" ht="11.45" hidden="false" customHeight="true" outlineLevel="0" collapsed="false">
      <c r="D5" s="449"/>
      <c r="E5" s="449"/>
      <c r="F5" s="449"/>
      <c r="G5" s="442"/>
      <c r="Q5" s="443"/>
      <c r="R5" s="443"/>
    </row>
    <row r="6" customFormat="false" ht="11.45" hidden="false" customHeight="true" outlineLevel="0" collapsed="false">
      <c r="A6" s="450"/>
      <c r="B6" s="451"/>
      <c r="C6" s="452"/>
      <c r="D6" s="453"/>
      <c r="E6" s="454"/>
      <c r="F6" s="441"/>
      <c r="Q6" s="443"/>
      <c r="R6" s="443"/>
    </row>
    <row r="7" customFormat="false" ht="11.45" hidden="false" customHeight="true" outlineLevel="0" collapsed="false">
      <c r="A7" s="455"/>
      <c r="B7" s="448"/>
      <c r="C7" s="456"/>
      <c r="D7" s="457"/>
      <c r="E7" s="458"/>
      <c r="Q7" s="443"/>
      <c r="R7" s="443"/>
    </row>
    <row r="8" customFormat="false" ht="11.45" hidden="false" customHeight="true" outlineLevel="0" collapsed="false">
      <c r="A8" s="455" t="s">
        <v>345</v>
      </c>
      <c r="B8" s="448"/>
      <c r="C8" s="456"/>
      <c r="D8" s="459" t="n">
        <f aca="false">Assumptions!B60</f>
        <v>0.07</v>
      </c>
      <c r="E8" s="460"/>
      <c r="Q8" s="443"/>
      <c r="R8" s="443"/>
    </row>
    <row r="9" customFormat="false" ht="11.25" hidden="false" customHeight="false" outlineLevel="0" collapsed="false">
      <c r="A9" s="455" t="s">
        <v>346</v>
      </c>
      <c r="B9" s="448"/>
      <c r="C9" s="456"/>
      <c r="D9" s="461" t="n">
        <v>6</v>
      </c>
      <c r="E9" s="462"/>
      <c r="Q9" s="443"/>
      <c r="R9" s="443"/>
    </row>
    <row r="10" customFormat="false" ht="11.45" hidden="false" customHeight="true" outlineLevel="0" collapsed="false">
      <c r="A10" s="455" t="s">
        <v>347</v>
      </c>
      <c r="B10" s="448"/>
      <c r="C10" s="456"/>
      <c r="D10" s="459" t="n">
        <f aca="false">D8/12</f>
        <v>0.00583333333333333</v>
      </c>
      <c r="E10" s="456"/>
      <c r="Q10" s="443"/>
      <c r="R10" s="443"/>
    </row>
    <row r="11" customFormat="false" ht="11.45" hidden="false" customHeight="true" outlineLevel="0" collapsed="false">
      <c r="A11" s="463"/>
      <c r="B11" s="456"/>
      <c r="C11" s="456"/>
      <c r="D11" s="464"/>
      <c r="E11" s="462"/>
      <c r="Q11" s="443"/>
      <c r="R11" s="443"/>
    </row>
    <row r="12" customFormat="false" ht="11.45" hidden="false" customHeight="true" outlineLevel="0" collapsed="false">
      <c r="A12" s="465"/>
      <c r="B12" s="466"/>
      <c r="C12" s="467"/>
      <c r="D12" s="468"/>
      <c r="E12" s="456"/>
      <c r="Q12" s="443"/>
      <c r="R12" s="443"/>
    </row>
    <row r="13" customFormat="false" ht="11.45" hidden="false" customHeight="true" outlineLevel="0" collapsed="false">
      <c r="A13" s="463"/>
      <c r="B13" s="456"/>
      <c r="C13" s="456"/>
      <c r="D13" s="464"/>
      <c r="E13" s="469"/>
      <c r="G13" s="470"/>
      <c r="Q13" s="443"/>
      <c r="R13" s="443"/>
    </row>
    <row r="14" customFormat="false" ht="11.45" hidden="false" customHeight="true" outlineLevel="0" collapsed="false">
      <c r="A14" s="455"/>
      <c r="B14" s="448"/>
      <c r="C14" s="456"/>
      <c r="D14" s="471"/>
      <c r="E14" s="448"/>
      <c r="Q14" s="443"/>
      <c r="R14" s="443"/>
    </row>
    <row r="15" customFormat="false" ht="11.45" hidden="false" customHeight="true" outlineLevel="0" collapsed="false">
      <c r="A15" s="472"/>
      <c r="B15" s="473"/>
      <c r="C15" s="473"/>
      <c r="D15" s="474"/>
      <c r="E15" s="475"/>
      <c r="Q15" s="443"/>
      <c r="R15" s="443"/>
    </row>
    <row r="16" customFormat="false" ht="11.45" hidden="false" customHeight="true" outlineLevel="0" collapsed="false">
      <c r="A16" s="476" t="s">
        <v>348</v>
      </c>
      <c r="B16" s="477"/>
      <c r="C16" s="473"/>
      <c r="D16" s="478" t="n">
        <f aca="false">+I42</f>
        <v>817.410382460499</v>
      </c>
      <c r="E16" s="475"/>
      <c r="H16" s="479"/>
      <c r="I16" s="479"/>
      <c r="J16" s="479"/>
      <c r="K16" s="479"/>
      <c r="L16" s="479"/>
      <c r="M16" s="479"/>
      <c r="N16" s="479"/>
      <c r="O16" s="479"/>
      <c r="P16" s="479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80"/>
      <c r="AD16" s="480"/>
      <c r="AE16" s="480"/>
      <c r="AF16" s="480"/>
    </row>
    <row r="17" customFormat="false" ht="11.45" hidden="false" customHeight="true" outlineLevel="0" collapsed="false">
      <c r="A17" s="448"/>
      <c r="B17" s="448"/>
      <c r="C17" s="456"/>
      <c r="D17" s="475"/>
      <c r="E17" s="475"/>
      <c r="G17" s="481" t="n">
        <f aca="false">+G15*G14*225</f>
        <v>0</v>
      </c>
      <c r="Q17" s="434"/>
      <c r="R17" s="434"/>
      <c r="S17" s="434"/>
      <c r="T17" s="434"/>
      <c r="U17" s="434"/>
      <c r="V17" s="434"/>
      <c r="W17" s="434"/>
      <c r="X17" s="434"/>
      <c r="Y17" s="434"/>
      <c r="Z17" s="434"/>
    </row>
    <row r="18" customFormat="false" ht="22.5" hidden="false" customHeight="true" outlineLevel="0" collapsed="false">
      <c r="A18" s="448" t="s">
        <v>349</v>
      </c>
      <c r="B18" s="448"/>
      <c r="C18" s="482" t="n">
        <f aca="false">+[4]Assumptions!E59</f>
        <v>36739</v>
      </c>
      <c r="D18" s="475"/>
      <c r="E18" s="475" t="n">
        <f aca="false">SUM(Assumptions!C21:C30)</f>
        <v>41585</v>
      </c>
      <c r="G18" s="483"/>
      <c r="H18" s="484"/>
      <c r="I18" s="485"/>
      <c r="J18" s="485"/>
      <c r="K18" s="485"/>
      <c r="L18" s="485"/>
      <c r="M18" s="485"/>
      <c r="N18" s="485"/>
      <c r="O18" s="485"/>
      <c r="P18" s="485"/>
      <c r="Q18" s="485"/>
      <c r="R18" s="485"/>
      <c r="S18" s="485"/>
      <c r="T18" s="485"/>
      <c r="U18" s="485"/>
      <c r="V18" s="485"/>
      <c r="W18" s="485"/>
      <c r="X18" s="485"/>
      <c r="Y18" s="485"/>
      <c r="Z18" s="485"/>
    </row>
    <row r="19" customFormat="false" ht="11.45" hidden="false" customHeight="true" outlineLevel="0" collapsed="false">
      <c r="A19" s="486" t="s">
        <v>350</v>
      </c>
      <c r="C19" s="487" t="s">
        <v>351</v>
      </c>
      <c r="D19" s="434" t="s">
        <v>352</v>
      </c>
      <c r="E19" s="434" t="s">
        <v>353</v>
      </c>
      <c r="F19" s="486" t="s">
        <v>354</v>
      </c>
      <c r="G19" s="488" t="s">
        <v>355</v>
      </c>
      <c r="H19" s="486" t="s">
        <v>356</v>
      </c>
      <c r="I19" s="489" t="s">
        <v>357</v>
      </c>
      <c r="Q19" s="443"/>
    </row>
    <row r="20" customFormat="false" ht="11.25" hidden="false" customHeight="false" outlineLevel="0" collapsed="false">
      <c r="A20" s="490"/>
      <c r="C20" s="490"/>
      <c r="F20" s="490"/>
      <c r="G20" s="490"/>
      <c r="H20" s="491"/>
      <c r="I20" s="492"/>
    </row>
    <row r="21" customFormat="false" ht="11.45" hidden="false" customHeight="true" outlineLevel="0" collapsed="false">
      <c r="A21" s="490"/>
      <c r="C21" s="490"/>
      <c r="F21" s="490"/>
      <c r="G21" s="490"/>
      <c r="H21" s="491"/>
      <c r="I21" s="492"/>
    </row>
    <row r="22" customFormat="false" ht="11.45" hidden="false" customHeight="true" outlineLevel="0" collapsed="false">
      <c r="A22" s="493" t="n">
        <v>0</v>
      </c>
      <c r="C22" s="493"/>
      <c r="F22" s="490" t="n">
        <v>0</v>
      </c>
      <c r="G22" s="490"/>
      <c r="H22" s="490" t="n">
        <v>0</v>
      </c>
      <c r="I22" s="464" t="n">
        <v>0</v>
      </c>
    </row>
    <row r="23" customFormat="false" ht="11.45" hidden="false" customHeight="true" outlineLevel="0" collapsed="false">
      <c r="A23" s="493" t="n">
        <v>1</v>
      </c>
      <c r="B23" s="494" t="n">
        <f aca="false">+C18</f>
        <v>36739</v>
      </c>
      <c r="C23" s="495" t="n">
        <f aca="false">+E23/$E$44</f>
        <v>0.0612855725396165</v>
      </c>
      <c r="E23" s="496" t="n">
        <f aca="false">+$E$18/$D$9</f>
        <v>6930.83333333333</v>
      </c>
      <c r="F23" s="497" t="n">
        <f aca="false">+E23+D23</f>
        <v>6930.83333333333</v>
      </c>
      <c r="G23" s="497" t="n">
        <f aca="false">G22+F23+H23</f>
        <v>6951.04826388889</v>
      </c>
      <c r="H23" s="497" t="n">
        <f aca="false">IF(A23&gt;D$9,0,(F23/2+G22)*$D$10)</f>
        <v>20.2149305555556</v>
      </c>
      <c r="I23" s="498" t="n">
        <f aca="false">H23</f>
        <v>20.2149305555556</v>
      </c>
    </row>
    <row r="24" customFormat="false" ht="11.45" hidden="false" customHeight="true" outlineLevel="0" collapsed="false">
      <c r="A24" s="493" t="n">
        <f aca="false">A23+1</f>
        <v>2</v>
      </c>
      <c r="B24" s="485" t="n">
        <v>36770</v>
      </c>
      <c r="C24" s="495" t="n">
        <f aca="false">+E24/$E$44</f>
        <v>0.0612855725396165</v>
      </c>
      <c r="E24" s="496" t="n">
        <f aca="false">+$E$18/$D$9</f>
        <v>6930.83333333333</v>
      </c>
      <c r="F24" s="497" t="n">
        <f aca="false">+E24+D24</f>
        <v>6930.83333333333</v>
      </c>
      <c r="G24" s="497" t="n">
        <f aca="false">G23+F24+H24</f>
        <v>13942.6443093171</v>
      </c>
      <c r="H24" s="497" t="n">
        <f aca="false">IF(A24&gt;D$9,0,(F24/2+G23)*$D$10)</f>
        <v>60.7627120949074</v>
      </c>
      <c r="I24" s="498" t="n">
        <f aca="false">IF(A24&lt;=$D$9,H24+I23,I23)</f>
        <v>80.977642650463</v>
      </c>
    </row>
    <row r="25" customFormat="false" ht="11.45" hidden="false" customHeight="true" outlineLevel="0" collapsed="false">
      <c r="A25" s="493" t="n">
        <f aca="false">A24+1</f>
        <v>3</v>
      </c>
      <c r="B25" s="485" t="n">
        <v>36800</v>
      </c>
      <c r="C25" s="495" t="n">
        <f aca="false">+E25/$E$44</f>
        <v>0.0612855725396165</v>
      </c>
      <c r="D25" s="496" t="n">
        <v>0</v>
      </c>
      <c r="E25" s="496" t="n">
        <f aca="false">+$E$18/$D$9</f>
        <v>6930.83333333333</v>
      </c>
      <c r="F25" s="497" t="n">
        <f aca="false">+E25+D25</f>
        <v>6930.83333333333</v>
      </c>
      <c r="G25" s="497" t="n">
        <f aca="false">G24+F25+H25</f>
        <v>20975.0246650104</v>
      </c>
      <c r="H25" s="497" t="n">
        <f aca="false">IF(A25&gt;D$9,0,(F25/2+G24)*$D$10)</f>
        <v>101.547022359905</v>
      </c>
      <c r="I25" s="498" t="n">
        <f aca="false">IF(A25&lt;=$D$9,H25+I24,I24)</f>
        <v>182.524665010368</v>
      </c>
    </row>
    <row r="26" customFormat="false" ht="11.45" hidden="false" customHeight="true" outlineLevel="0" collapsed="false">
      <c r="A26" s="493" t="n">
        <f aca="false">A25+1</f>
        <v>4</v>
      </c>
      <c r="B26" s="485" t="n">
        <v>36831</v>
      </c>
      <c r="C26" s="495" t="n">
        <f aca="false">+E26/$E$44</f>
        <v>0.0612855725396165</v>
      </c>
      <c r="D26" s="496" t="n">
        <v>0</v>
      </c>
      <c r="E26" s="496" t="n">
        <f aca="false">+$E$18/$D$9</f>
        <v>6930.83333333333</v>
      </c>
      <c r="F26" s="497" t="n">
        <f aca="false">+E26+D26</f>
        <v>6930.83333333333</v>
      </c>
      <c r="G26" s="497" t="n">
        <f aca="false">G25+F26+H26</f>
        <v>28048.4272394451</v>
      </c>
      <c r="H26" s="497" t="n">
        <f aca="false">IF(A26&gt;D$9,0,(F26/2+G25)*$D$10)</f>
        <v>142.569241101449</v>
      </c>
      <c r="I26" s="498" t="n">
        <f aca="false">IF(A26&lt;=$D$9,H26+I25,I25)</f>
        <v>325.093906111818</v>
      </c>
    </row>
    <row r="27" customFormat="false" ht="11.45" hidden="false" customHeight="true" outlineLevel="0" collapsed="false">
      <c r="A27" s="493" t="n">
        <f aca="false">A26+1</f>
        <v>5</v>
      </c>
      <c r="B27" s="485" t="n">
        <v>36861</v>
      </c>
      <c r="C27" s="495" t="n">
        <f aca="false">+E27/$E$44</f>
        <v>0.0612855725396165</v>
      </c>
      <c r="E27" s="496" t="n">
        <f aca="false">+$E$18/$D$9</f>
        <v>6930.83333333333</v>
      </c>
      <c r="F27" s="497" t="n">
        <f aca="false">+E27+D27</f>
        <v>6930.83333333333</v>
      </c>
      <c r="G27" s="497" t="n">
        <f aca="false">G26+F27+H27</f>
        <v>35163.0913288975</v>
      </c>
      <c r="H27" s="497" t="n">
        <f aca="false">IF(A27&gt;D$9,0,(F27/2+G26)*$D$10)</f>
        <v>183.830756118986</v>
      </c>
      <c r="I27" s="498" t="n">
        <f aca="false">IF(A27&lt;=$D$9,H27+I26,I26)</f>
        <v>508.924662230803</v>
      </c>
    </row>
    <row r="28" customFormat="false" ht="11.45" hidden="false" customHeight="true" outlineLevel="0" collapsed="false">
      <c r="A28" s="493" t="n">
        <f aca="false">A27+1</f>
        <v>6</v>
      </c>
      <c r="B28" s="485" t="n">
        <v>36892</v>
      </c>
      <c r="C28" s="495" t="n">
        <f aca="false">+E28/$E$44</f>
        <v>0.0612855725396165</v>
      </c>
      <c r="D28" s="499" t="n">
        <f aca="false">+$E$55*$E$69</f>
        <v>28509.516659053</v>
      </c>
      <c r="E28" s="496" t="n">
        <f aca="false">+$E$18/$D$9</f>
        <v>6930.83333333333</v>
      </c>
      <c r="F28" s="497" t="n">
        <f aca="false">+E28+D28</f>
        <v>35440.3499923863</v>
      </c>
      <c r="G28" s="497" t="n">
        <f aca="false">G27+F28+H28</f>
        <v>70911.9270415135</v>
      </c>
      <c r="H28" s="497" t="n">
        <f aca="false">IF(A28&gt;D$9,0,(F28/2+G27)*$D$10)</f>
        <v>308.485720229695</v>
      </c>
      <c r="I28" s="498" t="n">
        <f aca="false">IF(A28&lt;=$D$9,H28+I27,I27)</f>
        <v>817.410382460499</v>
      </c>
    </row>
    <row r="29" customFormat="false" ht="11.45" hidden="false" customHeight="true" outlineLevel="0" collapsed="false">
      <c r="A29" s="493" t="n">
        <f aca="false">A28+1</f>
        <v>7</v>
      </c>
      <c r="B29" s="485" t="n">
        <v>36923</v>
      </c>
      <c r="C29" s="495" t="n">
        <f aca="false">+E29/$E$44</f>
        <v>0</v>
      </c>
      <c r="D29" s="499" t="n">
        <f aca="false">+$F$69*$F$55</f>
        <v>42996.2654961283</v>
      </c>
      <c r="E29" s="496"/>
      <c r="F29" s="497" t="n">
        <f aca="false">+E29+D29</f>
        <v>42996.2654961283</v>
      </c>
      <c r="G29" s="497" t="n">
        <f aca="false">G28+F29+H29</f>
        <v>113908.192537642</v>
      </c>
      <c r="H29" s="497" t="n">
        <f aca="false">IF(A29&gt;D$9,0,(F29/2+G28)*$D$10)</f>
        <v>0</v>
      </c>
      <c r="I29" s="498" t="n">
        <f aca="false">IF(A29&lt;=$D$9,H29+I28,I28)</f>
        <v>817.410382460499</v>
      </c>
    </row>
    <row r="30" customFormat="false" ht="11.45" hidden="false" customHeight="true" outlineLevel="0" collapsed="false">
      <c r="A30" s="493" t="n">
        <f aca="false">A29+1</f>
        <v>8</v>
      </c>
      <c r="B30" s="485" t="n">
        <v>36951</v>
      </c>
      <c r="C30" s="495" t="n">
        <f aca="false">+E30/$E$44</f>
        <v>0</v>
      </c>
      <c r="E30" s="496"/>
      <c r="F30" s="497" t="n">
        <f aca="false">+E30+D30</f>
        <v>0</v>
      </c>
      <c r="G30" s="497" t="n">
        <f aca="false">G29+F30+H30</f>
        <v>113908.192537642</v>
      </c>
      <c r="H30" s="497" t="n">
        <f aca="false">IF(A30&gt;D$9,0,(F30/2+G29)*$D$10)</f>
        <v>0</v>
      </c>
      <c r="I30" s="498" t="n">
        <f aca="false">IF(A30&lt;=$D$9,H30+I29,I29)</f>
        <v>817.410382460499</v>
      </c>
    </row>
    <row r="31" customFormat="false" ht="11.45" hidden="false" customHeight="true" outlineLevel="0" collapsed="false">
      <c r="A31" s="493" t="n">
        <f aca="false">A30+1</f>
        <v>9</v>
      </c>
      <c r="B31" s="485" t="n">
        <v>36982</v>
      </c>
      <c r="C31" s="495" t="n">
        <f aca="false">+E31/$E$44</f>
        <v>0</v>
      </c>
      <c r="E31" s="496"/>
      <c r="F31" s="497" t="n">
        <f aca="false">+E31+D31</f>
        <v>0</v>
      </c>
      <c r="G31" s="497" t="n">
        <f aca="false">G30+F31+H31</f>
        <v>113908.192537642</v>
      </c>
      <c r="H31" s="497" t="n">
        <f aca="false">IF(A31&gt;D$9,0,(F31/2+G30)*$D$10)</f>
        <v>0</v>
      </c>
      <c r="I31" s="498" t="n">
        <f aca="false">IF(A31&lt;=$D$9,H31+I30,I30)</f>
        <v>817.410382460499</v>
      </c>
    </row>
    <row r="32" customFormat="false" ht="11.45" hidden="false" customHeight="true" outlineLevel="0" collapsed="false">
      <c r="A32" s="493" t="n">
        <f aca="false">A31+1</f>
        <v>10</v>
      </c>
      <c r="B32" s="485" t="n">
        <v>37012</v>
      </c>
      <c r="C32" s="495" t="n">
        <f aca="false">+E32/$E$44</f>
        <v>0</v>
      </c>
      <c r="E32" s="496"/>
      <c r="F32" s="497" t="n">
        <f aca="false">+E32+D32</f>
        <v>0</v>
      </c>
      <c r="G32" s="497" t="n">
        <f aca="false">G31+F32+H32</f>
        <v>113908.192537642</v>
      </c>
      <c r="H32" s="497" t="n">
        <f aca="false">IF(A32&gt;D$9,0,(F32/2+G31)*$D$10)</f>
        <v>0</v>
      </c>
      <c r="I32" s="498" t="n">
        <f aca="false">IF(A32&lt;=$D$9,H32+I31,I31)</f>
        <v>817.410382460499</v>
      </c>
    </row>
    <row r="33" customFormat="false" ht="11.45" hidden="false" customHeight="true" outlineLevel="0" collapsed="false">
      <c r="A33" s="493" t="n">
        <f aca="false">A32+1</f>
        <v>11</v>
      </c>
      <c r="B33" s="485" t="n">
        <v>37043</v>
      </c>
      <c r="C33" s="495" t="n">
        <f aca="false">+E33/$E$44</f>
        <v>0</v>
      </c>
      <c r="E33" s="496"/>
      <c r="F33" s="497" t="n">
        <f aca="false">+E33+D33</f>
        <v>0</v>
      </c>
      <c r="G33" s="497" t="n">
        <f aca="false">G32+F33+H33</f>
        <v>113908.192537642</v>
      </c>
      <c r="H33" s="497" t="n">
        <f aca="false">IF(A33&gt;D$9,0,(F33/2+G32)*$D$10)</f>
        <v>0</v>
      </c>
      <c r="I33" s="498" t="n">
        <f aca="false">IF(A33&lt;=$D$9,H33+I32,I32)</f>
        <v>817.410382460499</v>
      </c>
    </row>
    <row r="34" customFormat="false" ht="11.45" hidden="false" customHeight="true" outlineLevel="0" collapsed="false">
      <c r="A34" s="493" t="n">
        <f aca="false">A33+1</f>
        <v>12</v>
      </c>
      <c r="B34" s="485" t="n">
        <v>37073</v>
      </c>
      <c r="C34" s="495" t="n">
        <f aca="false">+E34/$E$44</f>
        <v>0</v>
      </c>
      <c r="E34" s="496"/>
      <c r="F34" s="497" t="n">
        <f aca="false">+E34+D34</f>
        <v>0</v>
      </c>
      <c r="G34" s="497" t="n">
        <f aca="false">G33+F34+H34</f>
        <v>113908.192537642</v>
      </c>
      <c r="H34" s="497" t="n">
        <f aca="false">IF(A34&gt;D$9,0,(F34/2+G33)*$D$10)</f>
        <v>0</v>
      </c>
      <c r="I34" s="498" t="n">
        <f aca="false">IF(A34&lt;=$D$9,H34+I33,I33)</f>
        <v>817.410382460499</v>
      </c>
    </row>
    <row r="35" customFormat="false" ht="11.45" hidden="false" customHeight="true" outlineLevel="0" collapsed="false">
      <c r="A35" s="493" t="n">
        <f aca="false">A34+1</f>
        <v>13</v>
      </c>
      <c r="B35" s="485" t="n">
        <v>37104</v>
      </c>
      <c r="C35" s="495" t="n">
        <f aca="false">+E35/$E$44</f>
        <v>0</v>
      </c>
      <c r="F35" s="497" t="n">
        <f aca="false">+E35+D35</f>
        <v>0</v>
      </c>
      <c r="G35" s="497" t="n">
        <f aca="false">G34+F35+H35</f>
        <v>113908.192537642</v>
      </c>
      <c r="H35" s="497" t="n">
        <f aca="false">IF(A35&gt;D$9,0,(F35/2+G34)*$D$10)</f>
        <v>0</v>
      </c>
      <c r="I35" s="498" t="n">
        <f aca="false">IF(A35&lt;=$D$9,H35+I34,I34)</f>
        <v>817.410382460499</v>
      </c>
    </row>
    <row r="36" customFormat="false" ht="11.45" hidden="false" customHeight="true" outlineLevel="0" collapsed="false">
      <c r="A36" s="493" t="n">
        <f aca="false">A35+1</f>
        <v>14</v>
      </c>
      <c r="B36" s="485" t="n">
        <v>37135</v>
      </c>
      <c r="C36" s="495" t="n">
        <f aca="false">+E36/$E$44</f>
        <v>0</v>
      </c>
      <c r="F36" s="497" t="n">
        <f aca="false">+E36+D36</f>
        <v>0</v>
      </c>
      <c r="G36" s="497" t="n">
        <f aca="false">G35+F36+H36</f>
        <v>113908.192537642</v>
      </c>
      <c r="H36" s="497" t="n">
        <f aca="false">IF(A36&gt;D$9,0,(F36/2+G35)*$D$10)</f>
        <v>0</v>
      </c>
      <c r="I36" s="498" t="n">
        <f aca="false">IF(A36&lt;=$D$9,H36+I35,I35)</f>
        <v>817.410382460499</v>
      </c>
    </row>
    <row r="37" customFormat="false" ht="11.45" hidden="false" customHeight="true" outlineLevel="0" collapsed="false">
      <c r="A37" s="493" t="n">
        <f aca="false">A36+1</f>
        <v>15</v>
      </c>
      <c r="B37" s="485" t="n">
        <v>37165</v>
      </c>
      <c r="C37" s="495" t="n">
        <f aca="false">+E37/$E$44</f>
        <v>0</v>
      </c>
      <c r="F37" s="497" t="n">
        <f aca="false">+E37+D37</f>
        <v>0</v>
      </c>
      <c r="G37" s="497" t="n">
        <f aca="false">G36+F37+H37</f>
        <v>113908.192537642</v>
      </c>
      <c r="H37" s="497" t="n">
        <f aca="false">IF(A37&gt;D$9,0,(F37/2+G36)*$D$10)</f>
        <v>0</v>
      </c>
      <c r="I37" s="498" t="n">
        <f aca="false">IF(A37&lt;=$D$9,H37+I36,I36)</f>
        <v>817.410382460499</v>
      </c>
    </row>
    <row r="38" customFormat="false" ht="11.45" hidden="false" customHeight="true" outlineLevel="0" collapsed="false">
      <c r="A38" s="493" t="n">
        <f aca="false">A37+1</f>
        <v>16</v>
      </c>
      <c r="B38" s="485" t="n">
        <v>37196</v>
      </c>
      <c r="C38" s="495" t="n">
        <f aca="false">+E38/$E$44</f>
        <v>0</v>
      </c>
      <c r="F38" s="497" t="n">
        <f aca="false">+E38+D38</f>
        <v>0</v>
      </c>
      <c r="G38" s="497" t="n">
        <f aca="false">G37+F38+H38</f>
        <v>113908.192537642</v>
      </c>
      <c r="H38" s="497" t="n">
        <f aca="false">IF(A38&gt;D$9,0,(F38/2+G37)*$D$10)</f>
        <v>0</v>
      </c>
      <c r="I38" s="498" t="n">
        <f aca="false">IF(A38&lt;=$D$9,H38+I37,I37)</f>
        <v>817.410382460499</v>
      </c>
    </row>
    <row r="39" customFormat="false" ht="11.45" hidden="false" customHeight="true" outlineLevel="0" collapsed="false">
      <c r="A39" s="493" t="n">
        <f aca="false">A38+1</f>
        <v>17</v>
      </c>
      <c r="B39" s="485" t="n">
        <v>37226</v>
      </c>
      <c r="C39" s="495" t="n">
        <f aca="false">+E39/$E$44</f>
        <v>0</v>
      </c>
      <c r="F39" s="497" t="n">
        <f aca="false">+E39+D39</f>
        <v>0</v>
      </c>
      <c r="G39" s="497" t="n">
        <f aca="false">G38+F39+H39</f>
        <v>113908.192537642</v>
      </c>
      <c r="H39" s="497" t="n">
        <f aca="false">IF(A39&gt;D$9,0,(F39/2+G38)*$D$10)</f>
        <v>0</v>
      </c>
      <c r="I39" s="498" t="n">
        <f aca="false">IF(A39&lt;=$D$9,H39+I38,I38)</f>
        <v>817.410382460499</v>
      </c>
    </row>
    <row r="40" customFormat="false" ht="11.45" hidden="false" customHeight="true" outlineLevel="0" collapsed="false">
      <c r="A40" s="493" t="n">
        <f aca="false">A39+1</f>
        <v>18</v>
      </c>
      <c r="B40" s="485" t="n">
        <v>37257</v>
      </c>
      <c r="C40" s="495" t="n">
        <f aca="false">+E40/$E$44</f>
        <v>0</v>
      </c>
      <c r="F40" s="497" t="n">
        <f aca="false">+E40+D40</f>
        <v>0</v>
      </c>
      <c r="G40" s="497" t="n">
        <f aca="false">G39+F40+H40</f>
        <v>113908.192537642</v>
      </c>
      <c r="H40" s="497" t="n">
        <f aca="false">IF(A40&gt;D$9,0,(F40/2+G39)*$D$10)</f>
        <v>0</v>
      </c>
      <c r="I40" s="498" t="n">
        <f aca="false">IF(A40&lt;=$D$9,H40+I39,I39)</f>
        <v>817.410382460499</v>
      </c>
    </row>
    <row r="41" customFormat="false" ht="11.45" hidden="false" customHeight="true" outlineLevel="0" collapsed="false">
      <c r="A41" s="493" t="n">
        <f aca="false">A40+1</f>
        <v>19</v>
      </c>
      <c r="B41" s="485" t="n">
        <v>37288</v>
      </c>
      <c r="C41" s="495" t="n">
        <f aca="false">+E41/$E$44</f>
        <v>0</v>
      </c>
      <c r="D41" s="463"/>
      <c r="E41" s="456"/>
      <c r="F41" s="497" t="n">
        <f aca="false">+E41+D41</f>
        <v>0</v>
      </c>
      <c r="G41" s="497" t="n">
        <f aca="false">G40+F41+H41</f>
        <v>113908.192537642</v>
      </c>
      <c r="H41" s="497" t="n">
        <f aca="false">IF(A41&gt;D$9,0,(F41/2+G40)*$D$10)</f>
        <v>0</v>
      </c>
      <c r="I41" s="498" t="n">
        <f aca="false">IF(A41&lt;=$D$9,H41+I40,I40)</f>
        <v>817.410382460499</v>
      </c>
    </row>
    <row r="42" customFormat="false" ht="11.45" hidden="false" customHeight="true" outlineLevel="0" collapsed="false">
      <c r="A42" s="500" t="n">
        <f aca="false">A41+1</f>
        <v>20</v>
      </c>
      <c r="B42" s="485" t="n">
        <v>37135</v>
      </c>
      <c r="C42" s="495" t="n">
        <f aca="false">+E42/$E$44</f>
        <v>0</v>
      </c>
      <c r="D42" s="472"/>
      <c r="E42" s="473"/>
      <c r="F42" s="501" t="n">
        <f aca="false">+E42+D42</f>
        <v>0</v>
      </c>
      <c r="G42" s="501" t="n">
        <f aca="false">G41+F42+H42</f>
        <v>113908.192537642</v>
      </c>
      <c r="H42" s="501" t="n">
        <f aca="false">IF(A42&gt;D$9,0,(F42/2+G41)*$D$10)</f>
        <v>0</v>
      </c>
      <c r="I42" s="502" t="n">
        <f aca="false">IF(A42&lt;=$D$9,H42+I41,I41)</f>
        <v>817.410382460499</v>
      </c>
    </row>
    <row r="43" customFormat="false" ht="11.45" hidden="false" customHeight="true" outlineLevel="0" collapsed="false">
      <c r="A43" s="0"/>
      <c r="B43" s="503" t="n">
        <f aca="false">SUM(C23:C42)</f>
        <v>0.367713435237699</v>
      </c>
      <c r="D43" s="496" t="n">
        <f aca="false">+SUM(D23:D42)</f>
        <v>71505.7821551813</v>
      </c>
      <c r="E43" s="399" t="n">
        <f aca="false">+SUM(E23:E42)</f>
        <v>41585</v>
      </c>
      <c r="F43" s="338" t="n">
        <f aca="false">+SUM(F22:F42)</f>
        <v>113090.782155181</v>
      </c>
      <c r="G43" s="0"/>
      <c r="H43" s="0"/>
      <c r="Q43" s="443"/>
    </row>
    <row r="44" customFormat="false" ht="11.45" hidden="false" customHeight="true" outlineLevel="0" collapsed="false">
      <c r="A44" s="0"/>
      <c r="B44" s="0"/>
      <c r="C44" s="0"/>
      <c r="D44" s="0"/>
      <c r="E44" s="338" t="n">
        <f aca="false">SUM(D43:E43)</f>
        <v>113090.782155181</v>
      </c>
      <c r="F44" s="0"/>
      <c r="G44" s="1"/>
      <c r="H44" s="1"/>
      <c r="Q44" s="443"/>
    </row>
    <row r="45" customFormat="false" ht="11.45" hidden="false" customHeight="true" outlineLevel="0" collapsed="false">
      <c r="A45" s="0"/>
      <c r="B45" s="0"/>
      <c r="C45" s="0"/>
      <c r="D45" s="0"/>
      <c r="E45" s="0"/>
      <c r="F45" s="0"/>
      <c r="G45" s="1"/>
      <c r="H45" s="1"/>
      <c r="Q45" s="443"/>
    </row>
    <row r="46" customFormat="false" ht="11.45" hidden="false" customHeight="true" outlineLevel="0" collapsed="false">
      <c r="A46" s="0"/>
      <c r="B46" s="0"/>
      <c r="C46" s="0"/>
      <c r="D46" s="0"/>
      <c r="E46" s="0"/>
      <c r="F46" s="0"/>
      <c r="G46" s="1"/>
      <c r="H46" s="1"/>
      <c r="Q46" s="443"/>
    </row>
    <row r="47" customFormat="false" ht="11.45" hidden="false" customHeight="true" outlineLevel="0" collapsed="false">
      <c r="A47" s="305" t="s">
        <v>358</v>
      </c>
      <c r="C47" s="1"/>
      <c r="D47" s="1"/>
      <c r="E47" s="1"/>
      <c r="F47" s="1"/>
      <c r="G47" s="1"/>
      <c r="H47" s="1"/>
      <c r="Q47" s="443"/>
    </row>
    <row r="48" customFormat="false" ht="11.45" hidden="false" customHeight="true" outlineLevel="0" collapsed="false">
      <c r="A48" s="1" t="s">
        <v>359</v>
      </c>
      <c r="B48" s="1"/>
      <c r="C48" s="504" t="n">
        <v>14012</v>
      </c>
      <c r="D48" s="392" t="s">
        <v>47</v>
      </c>
      <c r="E48" s="505" t="n">
        <v>5</v>
      </c>
      <c r="F48" s="504" t="n">
        <f aca="false">C48*E48</f>
        <v>70060</v>
      </c>
      <c r="G48" s="1"/>
      <c r="H48" s="1"/>
      <c r="Q48" s="443"/>
    </row>
    <row r="49" customFormat="false" ht="11.45" hidden="false" customHeight="true" outlineLevel="0" collapsed="false">
      <c r="D49" s="1"/>
      <c r="E49" s="1"/>
      <c r="F49" s="1"/>
      <c r="G49" s="1"/>
      <c r="H49" s="1"/>
      <c r="Q49" s="443"/>
    </row>
    <row r="50" customFormat="false" ht="11.45" hidden="false" customHeight="true" outlineLevel="0" collapsed="false">
      <c r="A50" s="1" t="s">
        <v>360</v>
      </c>
      <c r="B50" s="1"/>
      <c r="C50" s="506" t="n">
        <v>0.0575</v>
      </c>
      <c r="D50" s="506" t="n">
        <v>0.00625</v>
      </c>
      <c r="E50" s="394" t="n">
        <f aca="false">C50+D50</f>
        <v>0.06375</v>
      </c>
      <c r="F50" s="507" t="n">
        <f aca="false">E50/365.25</f>
        <v>0.000174537987679671</v>
      </c>
      <c r="G50" s="1"/>
      <c r="H50" s="1"/>
      <c r="Q50" s="443"/>
    </row>
    <row r="51" customFormat="false" ht="11.45" hidden="false" customHeight="true" outlineLevel="0" collapsed="false">
      <c r="A51" s="1" t="s">
        <v>361</v>
      </c>
      <c r="B51" s="1"/>
      <c r="C51" s="1"/>
      <c r="D51" s="1"/>
      <c r="E51" s="392" t="s">
        <v>362</v>
      </c>
      <c r="F51" s="392" t="s">
        <v>363</v>
      </c>
      <c r="G51" s="1"/>
      <c r="H51" s="1"/>
      <c r="Q51" s="443"/>
    </row>
    <row r="52" customFormat="false" ht="11.45" hidden="false" customHeight="true" outlineLevel="0" collapsed="false">
      <c r="A52" s="1"/>
      <c r="B52" s="1"/>
      <c r="C52" s="1"/>
      <c r="D52" s="1"/>
      <c r="E52" s="1"/>
      <c r="F52" s="1"/>
      <c r="G52" s="1"/>
      <c r="H52" s="1"/>
      <c r="Q52" s="443"/>
    </row>
    <row r="53" customFormat="false" ht="11.45" hidden="false" customHeight="true" outlineLevel="0" collapsed="false">
      <c r="A53" s="1"/>
      <c r="B53" s="1"/>
      <c r="C53" s="1"/>
      <c r="D53" s="1"/>
      <c r="E53" s="1"/>
      <c r="F53" s="1"/>
      <c r="G53" s="1"/>
      <c r="H53" s="1"/>
      <c r="Q53" s="443"/>
    </row>
    <row r="54" customFormat="false" ht="11.45" hidden="false" customHeight="true" outlineLevel="0" collapsed="false">
      <c r="D54" s="392" t="s">
        <v>364</v>
      </c>
      <c r="E54" s="508" t="n">
        <v>36890</v>
      </c>
      <c r="F54" s="508" t="n">
        <v>36921</v>
      </c>
      <c r="G54" s="1"/>
      <c r="H54" s="1"/>
      <c r="Q54" s="443"/>
    </row>
    <row r="55" customFormat="false" ht="11.45" hidden="false" customHeight="true" outlineLevel="0" collapsed="false">
      <c r="D55" s="392" t="s">
        <v>47</v>
      </c>
      <c r="E55" s="505" t="n">
        <v>2</v>
      </c>
      <c r="F55" s="505" t="n">
        <v>3</v>
      </c>
      <c r="G55" s="1"/>
      <c r="H55" s="1"/>
      <c r="Q55" s="443"/>
    </row>
    <row r="56" customFormat="false" ht="11.45" hidden="false" customHeight="true" outlineLevel="0" collapsed="false">
      <c r="A56" s="1"/>
      <c r="B56" s="1"/>
      <c r="C56" s="1"/>
      <c r="D56" s="1"/>
      <c r="E56" s="1"/>
      <c r="F56" s="1"/>
      <c r="G56" s="1"/>
      <c r="H56" s="1"/>
      <c r="Q56" s="443"/>
    </row>
    <row r="57" customFormat="false" ht="11.45" hidden="false" customHeight="true" outlineLevel="0" collapsed="false">
      <c r="A57" s="354" t="s">
        <v>365</v>
      </c>
      <c r="B57" s="354" t="s">
        <v>40</v>
      </c>
      <c r="C57" s="392" t="s">
        <v>366</v>
      </c>
      <c r="D57" s="1"/>
      <c r="E57" s="509" t="s">
        <v>367</v>
      </c>
      <c r="F57" s="509" t="s">
        <v>367</v>
      </c>
      <c r="G57" s="1"/>
      <c r="H57" s="1"/>
      <c r="Q57" s="443"/>
    </row>
    <row r="58" customFormat="false" ht="12.75" hidden="false" customHeight="false" outlineLevel="0" collapsed="false">
      <c r="A58" s="510" t="n">
        <v>36466</v>
      </c>
      <c r="B58" s="511" t="n">
        <v>0.05</v>
      </c>
      <c r="C58" s="512" t="n">
        <f aca="false">B58*$C$48</f>
        <v>700.6</v>
      </c>
      <c r="D58" s="1"/>
      <c r="E58" s="513" t="n">
        <f aca="false">+C58*(1+$F$50)^($E$54-A58)</f>
        <v>754.409074511698</v>
      </c>
      <c r="F58" s="514" t="n">
        <f aca="false">+C58*(1+$F$50)^($F$54-A58)</f>
        <v>758.501643464222</v>
      </c>
      <c r="G58" s="1"/>
      <c r="Q58" s="443"/>
      <c r="R58" s="443"/>
    </row>
    <row r="59" customFormat="false" ht="12.75" hidden="false" customHeight="false" outlineLevel="0" collapsed="false">
      <c r="A59" s="510" t="n">
        <v>36861</v>
      </c>
      <c r="B59" s="511" t="n">
        <v>0.1</v>
      </c>
      <c r="C59" s="512" t="n">
        <f aca="false">B59*$C$48</f>
        <v>1401.2</v>
      </c>
      <c r="D59" s="1"/>
      <c r="E59" s="513" t="n">
        <f aca="false">+C59*(1+$F$50)^($E$54-A59)</f>
        <v>1408.30967377626</v>
      </c>
      <c r="F59" s="514" t="n">
        <f aca="false">+C59*(1+$F$50)^($F$54-A59)</f>
        <v>1415.94956656276</v>
      </c>
      <c r="G59" s="1"/>
      <c r="Q59" s="443"/>
      <c r="R59" s="443"/>
    </row>
    <row r="60" customFormat="false" ht="12.75" hidden="false" customHeight="false" outlineLevel="0" collapsed="false">
      <c r="A60" s="510" t="n">
        <v>36600</v>
      </c>
      <c r="B60" s="511" t="n">
        <v>0.1</v>
      </c>
      <c r="C60" s="512" t="n">
        <f aca="false">B60*$C$48</f>
        <v>1401.2</v>
      </c>
      <c r="D60" s="1"/>
      <c r="E60" s="513" t="n">
        <f aca="false">+C60*(1+$F$50)^($E$54-A60)</f>
        <v>1473.94224731482</v>
      </c>
      <c r="F60" s="514" t="n">
        <f aca="false">+C60*(1+$F$50)^($F$54-A60)</f>
        <v>1481.93818808883</v>
      </c>
      <c r="G60" s="1"/>
      <c r="Q60" s="443"/>
      <c r="R60" s="443"/>
    </row>
    <row r="61" customFormat="false" ht="12.75" hidden="false" customHeight="false" outlineLevel="0" collapsed="false">
      <c r="A61" s="510" t="n">
        <v>36692</v>
      </c>
      <c r="B61" s="511" t="n">
        <v>0.1</v>
      </c>
      <c r="C61" s="512" t="n">
        <f aca="false">B61*$C$48</f>
        <v>1401.2</v>
      </c>
      <c r="D61" s="1"/>
      <c r="E61" s="513" t="n">
        <f aca="false">+C61*(1+$F$50)^($E$54-A61)</f>
        <v>1450.46546949749</v>
      </c>
      <c r="F61" s="514" t="n">
        <f aca="false">+C61*(1+$F$50)^($F$54-A61)</f>
        <v>1458.3340518724</v>
      </c>
      <c r="G61" s="1"/>
      <c r="Q61" s="443"/>
      <c r="R61" s="443"/>
    </row>
    <row r="62" customFormat="false" ht="12.75" hidden="false" customHeight="false" outlineLevel="0" collapsed="false">
      <c r="A62" s="510" t="n">
        <v>36753</v>
      </c>
      <c r="B62" s="511" t="n">
        <v>0.1</v>
      </c>
      <c r="C62" s="512" t="n">
        <f aca="false">B62*$C$48</f>
        <v>1401.2</v>
      </c>
      <c r="D62" s="1"/>
      <c r="E62" s="513" t="n">
        <f aca="false">+C62*(1+$F$50)^($E$54-A62)</f>
        <v>1435.10587954637</v>
      </c>
      <c r="F62" s="514" t="n">
        <f aca="false">+C62*(1+$F$50)^($F$54-A62)</f>
        <v>1442.8911381874</v>
      </c>
      <c r="G62" s="1"/>
      <c r="Q62" s="443"/>
      <c r="R62" s="443"/>
    </row>
    <row r="63" customFormat="false" ht="12.75" hidden="false" customHeight="false" outlineLevel="0" collapsed="false">
      <c r="A63" s="510" t="n">
        <v>36784</v>
      </c>
      <c r="B63" s="511" t="n">
        <v>0.1</v>
      </c>
      <c r="C63" s="512" t="n">
        <f aca="false">B63*$C$48</f>
        <v>1401.2</v>
      </c>
      <c r="D63" s="1"/>
      <c r="E63" s="513" t="n">
        <f aca="false">+C63*(1+$F$50)^($E$54-A63)</f>
        <v>1427.36262702104</v>
      </c>
      <c r="F63" s="514" t="n">
        <f aca="false">+C63*(1+$F$50)^($F$54-A63)</f>
        <v>1435.10587954637</v>
      </c>
      <c r="G63" s="1"/>
      <c r="Q63" s="443"/>
      <c r="R63" s="443"/>
    </row>
    <row r="64" customFormat="false" ht="12.75" hidden="false" customHeight="false" outlineLevel="0" collapsed="false">
      <c r="A64" s="510" t="n">
        <v>36814</v>
      </c>
      <c r="B64" s="511" t="n">
        <v>0.1</v>
      </c>
      <c r="C64" s="512" t="n">
        <f aca="false">B64*$C$48</f>
        <v>1401.2</v>
      </c>
      <c r="D64" s="1"/>
      <c r="E64" s="513" t="n">
        <f aca="false">+C64*(1+$F$50)^($E$54-A64)</f>
        <v>1419.90893876437</v>
      </c>
      <c r="F64" s="514" t="n">
        <f aca="false">+C64*(1+$F$50)^($F$54-A64)</f>
        <v>1427.61175602165</v>
      </c>
      <c r="Q64" s="443"/>
      <c r="R64" s="443"/>
    </row>
    <row r="65" customFormat="false" ht="12.75" hidden="false" customHeight="false" outlineLevel="0" collapsed="false">
      <c r="A65" s="510" t="n">
        <v>36845</v>
      </c>
      <c r="B65" s="511" t="n">
        <v>0.1</v>
      </c>
      <c r="C65" s="512" t="n">
        <f aca="false">B65*$C$48</f>
        <v>1401.2</v>
      </c>
      <c r="E65" s="513" t="n">
        <f aca="false">+C65*(1+$F$50)^($E$54-A65)</f>
        <v>1412.24768280234</v>
      </c>
      <c r="F65" s="514" t="n">
        <f aca="false">+C65*(1+$F$50)^($F$54-A65)</f>
        <v>1419.90893876437</v>
      </c>
      <c r="Q65" s="443"/>
      <c r="R65" s="443"/>
    </row>
    <row r="66" customFormat="false" ht="12.75" hidden="false" customHeight="false" outlineLevel="0" collapsed="false">
      <c r="A66" s="510" t="n">
        <v>36906</v>
      </c>
      <c r="B66" s="511" t="n">
        <v>0.1</v>
      </c>
      <c r="C66" s="512" t="n">
        <f aca="false">B66*$C$48</f>
        <v>1401.2</v>
      </c>
      <c r="E66" s="513" t="n">
        <f aca="false">+C66*(1+$F$50)^($E$54-A66)</f>
        <v>1397.29279709604</v>
      </c>
      <c r="F66" s="514" t="n">
        <f aca="false">+C66*(1+$F$50)^($F$54-A66)</f>
        <v>1404.87292479093</v>
      </c>
      <c r="Q66" s="443"/>
      <c r="R66" s="443"/>
    </row>
    <row r="67" customFormat="false" ht="12.75" hidden="false" customHeight="false" outlineLevel="0" collapsed="false">
      <c r="A67" s="510" t="n">
        <v>36937</v>
      </c>
      <c r="B67" s="511" t="n">
        <v>0.1</v>
      </c>
      <c r="C67" s="512" t="n">
        <f aca="false">B67*$C$48</f>
        <v>1401.2</v>
      </c>
      <c r="E67" s="513" t="n">
        <f aca="false">+C67*(1+$F$50)^($E$54-A67)</f>
        <v>1389.75356871301</v>
      </c>
      <c r="F67" s="514" t="n">
        <f aca="false">+C67*(1+$F$50)^($F$54-A67)</f>
        <v>1397.29279709604</v>
      </c>
      <c r="G67" s="515"/>
      <c r="H67" s="515"/>
      <c r="I67" s="515"/>
      <c r="J67" s="515"/>
      <c r="K67" s="515"/>
      <c r="L67" s="515"/>
      <c r="M67" s="515"/>
      <c r="N67" s="515"/>
      <c r="O67" s="515"/>
      <c r="P67" s="515"/>
      <c r="Q67" s="516"/>
      <c r="R67" s="516"/>
      <c r="S67" s="516"/>
      <c r="T67" s="516"/>
      <c r="U67" s="516"/>
      <c r="V67" s="516"/>
      <c r="W67" s="516"/>
      <c r="X67" s="516"/>
      <c r="Y67" s="516"/>
      <c r="Z67" s="516"/>
      <c r="AA67" s="516"/>
      <c r="AB67" s="516"/>
      <c r="AC67" s="516"/>
      <c r="AD67" s="516"/>
      <c r="AE67" s="516"/>
    </row>
    <row r="68" customFormat="false" ht="12.75" hidden="false" customHeight="false" outlineLevel="0" collapsed="false">
      <c r="A68" s="510" t="n">
        <v>37011</v>
      </c>
      <c r="B68" s="511" t="n">
        <v>0.05</v>
      </c>
      <c r="C68" s="512" t="n">
        <f aca="false">B68*$C$48</f>
        <v>700.6</v>
      </c>
      <c r="D68" s="515"/>
      <c r="E68" s="513" t="n">
        <f aca="false">+C68*(1+$F$50)^($E$54-A68)</f>
        <v>685.960370483036</v>
      </c>
      <c r="F68" s="514" t="n">
        <f aca="false">+C68*(1+$F$50)^($F$54-A68)</f>
        <v>689.681614314465</v>
      </c>
      <c r="G68" s="517"/>
      <c r="H68" s="517"/>
      <c r="I68" s="517"/>
      <c r="J68" s="517"/>
      <c r="K68" s="517"/>
      <c r="L68" s="517"/>
      <c r="M68" s="517"/>
      <c r="N68" s="517"/>
      <c r="O68" s="517"/>
      <c r="P68" s="517"/>
      <c r="Q68" s="518"/>
      <c r="R68" s="518"/>
      <c r="S68" s="518"/>
      <c r="T68" s="518"/>
      <c r="U68" s="518"/>
      <c r="V68" s="518"/>
      <c r="W68" s="518"/>
      <c r="X68" s="518"/>
      <c r="Y68" s="518"/>
      <c r="Z68" s="518"/>
      <c r="AA68" s="518"/>
      <c r="AB68" s="518"/>
      <c r="AC68" s="518"/>
      <c r="AD68" s="518"/>
      <c r="AE68" s="518"/>
    </row>
    <row r="69" customFormat="false" ht="11.25" hidden="false" customHeight="false" outlineLevel="0" collapsed="false">
      <c r="A69" s="448"/>
      <c r="B69" s="448"/>
      <c r="C69" s="519" t="n">
        <f aca="false">SUM(C58:C68)</f>
        <v>14012</v>
      </c>
      <c r="D69" s="517"/>
      <c r="E69" s="519" t="n">
        <f aca="false">SUM(E58:E68)</f>
        <v>14254.7583295265</v>
      </c>
      <c r="F69" s="519" t="n">
        <f aca="false">SUM(F58:F68)</f>
        <v>14332.0884987094</v>
      </c>
      <c r="G69" s="519"/>
      <c r="Q69" s="443"/>
      <c r="R69" s="443"/>
    </row>
    <row r="70" customFormat="false" ht="11.25" hidden="false" customHeight="false" outlineLevel="0" collapsed="false">
      <c r="Q70" s="443"/>
      <c r="R70" s="443"/>
    </row>
    <row r="71" customFormat="false" ht="11.25" hidden="false" customHeight="false" outlineLevel="0" collapsed="false">
      <c r="Q71" s="443"/>
      <c r="R71" s="443"/>
    </row>
    <row r="72" customFormat="false" ht="11.25" hidden="false" customHeight="false" outlineLevel="0" collapsed="false">
      <c r="Q72" s="443"/>
      <c r="R72" s="443"/>
    </row>
    <row r="73" customFormat="false" ht="11.25" hidden="false" customHeight="false" outlineLevel="0" collapsed="false">
      <c r="Q73" s="443"/>
      <c r="R73" s="443"/>
    </row>
    <row r="74" customFormat="false" ht="11.25" hidden="false" customHeight="false" outlineLevel="0" collapsed="false">
      <c r="Q74" s="443"/>
      <c r="R74" s="443"/>
    </row>
    <row r="75" customFormat="false" ht="11.25" hidden="false" customHeight="false" outlineLevel="0" collapsed="false">
      <c r="Q75" s="443"/>
      <c r="R75" s="443"/>
    </row>
    <row r="76" customFormat="false" ht="11.25" hidden="false" customHeight="false" outlineLevel="0" collapsed="false">
      <c r="Q76" s="443"/>
      <c r="R76" s="443"/>
    </row>
    <row r="77" customFormat="false" ht="11.25" hidden="false" customHeight="false" outlineLevel="0" collapsed="false">
      <c r="Q77" s="443"/>
      <c r="R77" s="443"/>
    </row>
    <row r="78" customFormat="false" ht="11.25" hidden="false" customHeight="false" outlineLevel="0" collapsed="false">
      <c r="Q78" s="443"/>
      <c r="R78" s="443"/>
    </row>
    <row r="79" customFormat="false" ht="11.25" hidden="false" customHeight="false" outlineLevel="0" collapsed="false">
      <c r="Q79" s="443"/>
      <c r="R79" s="443"/>
    </row>
    <row r="80" customFormat="false" ht="11.25" hidden="false" customHeight="false" outlineLevel="0" collapsed="false">
      <c r="Q80" s="443"/>
      <c r="R80" s="443"/>
    </row>
    <row r="81" customFormat="false" ht="11.25" hidden="false" customHeight="false" outlineLevel="0" collapsed="false">
      <c r="Q81" s="443"/>
      <c r="R81" s="443"/>
    </row>
    <row r="82" customFormat="false" ht="12.75" hidden="false" customHeight="false" outlineLevel="0" collapsed="false">
      <c r="A82" s="448"/>
      <c r="B82" s="448"/>
      <c r="C82" s="456"/>
      <c r="D82" s="475"/>
      <c r="E82" s="475"/>
      <c r="G82" s="1"/>
      <c r="Q82" s="443"/>
      <c r="R82" s="443"/>
    </row>
    <row r="83" customFormat="false" ht="12.75" hidden="false" customHeight="false" outlineLevel="0" collapsed="false">
      <c r="A83" s="1"/>
      <c r="B83" s="1"/>
      <c r="C83" s="1"/>
      <c r="D83" s="1"/>
      <c r="E83" s="1"/>
      <c r="F83" s="1"/>
      <c r="G83" s="1"/>
      <c r="Q83" s="443"/>
      <c r="R83" s="443"/>
    </row>
    <row r="84" customFormat="false" ht="12.75" hidden="false" customHeight="false" outlineLevel="0" collapsed="false">
      <c r="A84" s="1"/>
      <c r="B84" s="1"/>
      <c r="C84" s="1"/>
      <c r="D84" s="1"/>
      <c r="E84" s="1"/>
      <c r="F84" s="1"/>
      <c r="G84" s="1"/>
      <c r="Q84" s="443"/>
      <c r="R84" s="443"/>
    </row>
    <row r="85" customFormat="false" ht="12.75" hidden="false" customHeight="false" outlineLevel="0" collapsed="false">
      <c r="A85" s="1"/>
      <c r="B85" s="1"/>
      <c r="C85" s="1"/>
      <c r="D85" s="1"/>
      <c r="E85" s="1"/>
      <c r="F85" s="1"/>
      <c r="G85" s="1"/>
      <c r="Q85" s="443"/>
      <c r="R85" s="443"/>
    </row>
    <row r="86" customFormat="false" ht="12.75" hidden="false" customHeight="false" outlineLevel="0" collapsed="false">
      <c r="A86" s="1"/>
      <c r="B86" s="1"/>
      <c r="C86" s="1"/>
      <c r="D86" s="1"/>
      <c r="E86" s="1"/>
      <c r="F86" s="1"/>
      <c r="G86" s="1"/>
      <c r="Q86" s="443"/>
      <c r="R86" s="443"/>
    </row>
    <row r="87" customFormat="false" ht="12.75" hidden="false" customHeight="false" outlineLevel="0" collapsed="false">
      <c r="A87" s="1"/>
      <c r="B87" s="1"/>
      <c r="C87" s="1"/>
      <c r="D87" s="1"/>
      <c r="E87" s="1"/>
      <c r="F87" s="1"/>
      <c r="G87" s="1"/>
      <c r="Q87" s="443"/>
      <c r="R87" s="443"/>
    </row>
    <row r="88" customFormat="false" ht="12.75" hidden="false" customHeight="false" outlineLevel="0" collapsed="false">
      <c r="A88" s="1"/>
      <c r="B88" s="1"/>
      <c r="C88" s="1"/>
      <c r="D88" s="1"/>
      <c r="E88" s="1"/>
      <c r="F88" s="1"/>
      <c r="G88" s="1"/>
      <c r="Q88" s="443"/>
      <c r="R88" s="443"/>
    </row>
    <row r="89" customFormat="false" ht="11.45" hidden="false" customHeight="true" outlineLevel="0" collapsed="false">
      <c r="A89" s="1"/>
      <c r="B89" s="1"/>
      <c r="C89" s="1"/>
      <c r="D89" s="1"/>
      <c r="E89" s="1"/>
      <c r="F89" s="1"/>
      <c r="Q89" s="443"/>
      <c r="R89" s="443"/>
    </row>
    <row r="90" customFormat="false" ht="11.45" hidden="false" customHeight="true" outlineLevel="0" collapsed="false">
      <c r="A90" s="448"/>
      <c r="B90" s="448"/>
      <c r="C90" s="456"/>
      <c r="D90" s="475"/>
      <c r="E90" s="475"/>
      <c r="Q90" s="443"/>
      <c r="R90" s="443"/>
      <c r="S90" s="443"/>
    </row>
    <row r="91" customFormat="false" ht="11.45" hidden="false" customHeight="true" outlineLevel="0" collapsed="false">
      <c r="A91" s="448"/>
      <c r="B91" s="448"/>
      <c r="C91" s="456"/>
      <c r="D91" s="456"/>
      <c r="E91" s="456"/>
      <c r="F91" s="475"/>
      <c r="G91" s="515"/>
      <c r="H91" s="515"/>
      <c r="I91" s="515"/>
      <c r="J91" s="515"/>
      <c r="K91" s="515"/>
      <c r="L91" s="515"/>
      <c r="M91" s="515"/>
      <c r="N91" s="515"/>
      <c r="O91" s="515"/>
      <c r="P91" s="515"/>
      <c r="Q91" s="516"/>
      <c r="R91" s="516"/>
      <c r="S91" s="516"/>
      <c r="T91" s="516"/>
      <c r="U91" s="516"/>
      <c r="V91" s="516"/>
      <c r="W91" s="516"/>
      <c r="X91" s="516"/>
      <c r="Y91" s="516"/>
      <c r="Z91" s="516"/>
      <c r="AA91" s="516"/>
      <c r="AB91" s="516"/>
      <c r="AC91" s="516"/>
      <c r="AD91" s="516"/>
      <c r="AE91" s="516"/>
      <c r="AF91" s="516"/>
    </row>
    <row r="92" customFormat="false" ht="11.45" hidden="false" customHeight="true" outlineLevel="0" collapsed="false">
      <c r="A92" s="456"/>
      <c r="B92" s="456"/>
      <c r="C92" s="448"/>
      <c r="D92" s="448"/>
      <c r="E92" s="448"/>
      <c r="F92" s="515"/>
      <c r="G92" s="517"/>
      <c r="H92" s="517"/>
      <c r="I92" s="517"/>
      <c r="J92" s="517"/>
      <c r="K92" s="517"/>
      <c r="L92" s="517"/>
      <c r="M92" s="517"/>
      <c r="N92" s="517"/>
      <c r="O92" s="517"/>
      <c r="P92" s="517"/>
      <c r="Q92" s="518"/>
      <c r="R92" s="518"/>
      <c r="S92" s="518"/>
      <c r="T92" s="518"/>
      <c r="U92" s="518"/>
      <c r="V92" s="518"/>
      <c r="W92" s="518"/>
      <c r="X92" s="518"/>
      <c r="Y92" s="518"/>
      <c r="Z92" s="518"/>
      <c r="AA92" s="518"/>
      <c r="AB92" s="518"/>
      <c r="AC92" s="518"/>
      <c r="AD92" s="518"/>
      <c r="AE92" s="518"/>
      <c r="AF92" s="518"/>
    </row>
    <row r="93" customFormat="false" ht="11.45" hidden="false" customHeight="true" outlineLevel="0" collapsed="false">
      <c r="A93" s="456"/>
      <c r="B93" s="456"/>
      <c r="C93" s="448"/>
      <c r="D93" s="448"/>
      <c r="E93" s="448"/>
      <c r="F93" s="517"/>
      <c r="Q93" s="443"/>
      <c r="R93" s="443"/>
      <c r="S93" s="443"/>
    </row>
    <row r="94" customFormat="false" ht="11.45" hidden="false" customHeight="true" outlineLevel="0" collapsed="false">
      <c r="A94" s="448"/>
      <c r="B94" s="448"/>
      <c r="C94" s="456"/>
      <c r="D94" s="456"/>
      <c r="E94" s="456"/>
      <c r="F94" s="475"/>
      <c r="G94" s="456"/>
      <c r="H94" s="456"/>
      <c r="I94" s="456"/>
      <c r="J94" s="456"/>
      <c r="K94" s="456"/>
      <c r="L94" s="456"/>
      <c r="M94" s="456"/>
      <c r="N94" s="456"/>
      <c r="O94" s="456"/>
      <c r="P94" s="456"/>
      <c r="Q94" s="520"/>
      <c r="R94" s="520"/>
      <c r="S94" s="520"/>
      <c r="T94" s="520"/>
      <c r="U94" s="520"/>
      <c r="V94" s="520"/>
      <c r="W94" s="520"/>
      <c r="X94" s="520"/>
      <c r="Y94" s="520"/>
      <c r="Z94" s="520"/>
      <c r="AA94" s="520"/>
      <c r="AB94" s="520"/>
      <c r="AC94" s="520"/>
      <c r="AD94" s="520"/>
      <c r="AE94" s="520"/>
      <c r="AF94" s="520"/>
    </row>
    <row r="95" customFormat="false" ht="11.45" hidden="false" customHeight="true" outlineLevel="0" collapsed="false">
      <c r="A95" s="448"/>
      <c r="B95" s="448"/>
      <c r="C95" s="456"/>
      <c r="D95" s="456"/>
      <c r="E95" s="456"/>
      <c r="F95" s="456"/>
      <c r="G95" s="515"/>
      <c r="H95" s="515"/>
      <c r="I95" s="515"/>
      <c r="J95" s="515"/>
      <c r="K95" s="515"/>
      <c r="L95" s="515"/>
      <c r="M95" s="515"/>
      <c r="N95" s="515"/>
      <c r="O95" s="515"/>
      <c r="P95" s="515"/>
      <c r="Q95" s="516"/>
      <c r="R95" s="516"/>
      <c r="S95" s="516"/>
      <c r="T95" s="516"/>
      <c r="U95" s="516"/>
      <c r="V95" s="516"/>
      <c r="W95" s="516"/>
      <c r="X95" s="516"/>
      <c r="Y95" s="516"/>
      <c r="Z95" s="516"/>
      <c r="AA95" s="516"/>
      <c r="AB95" s="516"/>
      <c r="AC95" s="516"/>
      <c r="AD95" s="516"/>
      <c r="AE95" s="516"/>
      <c r="AF95" s="516"/>
    </row>
    <row r="96" customFormat="false" ht="11.45" hidden="false" customHeight="true" outlineLevel="0" collapsed="false">
      <c r="A96" s="448"/>
      <c r="B96" s="448"/>
      <c r="C96" s="448"/>
      <c r="D96" s="448"/>
      <c r="E96" s="448"/>
      <c r="F96" s="515"/>
      <c r="G96" s="521"/>
      <c r="H96" s="521"/>
      <c r="I96" s="521"/>
      <c r="J96" s="521"/>
      <c r="K96" s="521"/>
      <c r="L96" s="521"/>
      <c r="M96" s="521"/>
      <c r="N96" s="521"/>
      <c r="O96" s="521"/>
      <c r="P96" s="521"/>
      <c r="Q96" s="522"/>
      <c r="R96" s="522"/>
      <c r="S96" s="522"/>
      <c r="T96" s="522"/>
      <c r="U96" s="522"/>
      <c r="V96" s="522"/>
      <c r="W96" s="522"/>
      <c r="X96" s="522"/>
      <c r="Y96" s="522"/>
      <c r="Z96" s="522"/>
      <c r="AA96" s="522"/>
      <c r="AB96" s="522"/>
      <c r="AC96" s="522"/>
      <c r="AD96" s="522"/>
      <c r="AE96" s="522"/>
      <c r="AF96" s="522"/>
    </row>
    <row r="97" customFormat="false" ht="11.45" hidden="false" customHeight="true" outlineLevel="0" collapsed="false">
      <c r="A97" s="448"/>
      <c r="B97" s="448"/>
      <c r="C97" s="456"/>
      <c r="D97" s="456"/>
      <c r="E97" s="456"/>
      <c r="F97" s="456"/>
      <c r="G97" s="521"/>
      <c r="H97" s="521"/>
      <c r="I97" s="521"/>
      <c r="J97" s="521"/>
      <c r="K97" s="521"/>
      <c r="L97" s="521"/>
      <c r="M97" s="521"/>
      <c r="N97" s="521"/>
      <c r="O97" s="521"/>
      <c r="P97" s="521"/>
      <c r="Q97" s="522"/>
      <c r="R97" s="522"/>
      <c r="S97" s="522"/>
      <c r="T97" s="522"/>
      <c r="U97" s="522"/>
      <c r="V97" s="522"/>
      <c r="W97" s="522"/>
      <c r="X97" s="522"/>
      <c r="Y97" s="522"/>
      <c r="Z97" s="522"/>
      <c r="AA97" s="522"/>
      <c r="AB97" s="522"/>
      <c r="AC97" s="522"/>
      <c r="AD97" s="522"/>
      <c r="AE97" s="522"/>
      <c r="AF97" s="522"/>
    </row>
    <row r="98" customFormat="false" ht="11.45" hidden="false" customHeight="true" outlineLevel="0" collapsed="false">
      <c r="A98" s="448"/>
      <c r="B98" s="448"/>
      <c r="C98" s="448"/>
      <c r="D98" s="448"/>
      <c r="E98" s="448"/>
      <c r="F98" s="456"/>
      <c r="G98" s="521"/>
      <c r="H98" s="521"/>
      <c r="I98" s="521"/>
      <c r="J98" s="521"/>
      <c r="K98" s="521"/>
      <c r="L98" s="521"/>
      <c r="M98" s="521"/>
      <c r="N98" s="521"/>
      <c r="O98" s="521"/>
      <c r="P98" s="521"/>
      <c r="Q98" s="522"/>
      <c r="R98" s="522"/>
      <c r="S98" s="522"/>
      <c r="T98" s="522"/>
      <c r="U98" s="522"/>
      <c r="V98" s="522"/>
      <c r="W98" s="522"/>
      <c r="X98" s="522"/>
      <c r="Y98" s="522"/>
      <c r="Z98" s="522"/>
      <c r="AA98" s="522"/>
      <c r="AB98" s="522"/>
      <c r="AC98" s="522"/>
      <c r="AD98" s="522"/>
      <c r="AE98" s="522"/>
      <c r="AF98" s="522"/>
    </row>
    <row r="99" customFormat="false" ht="12.75" hidden="false" customHeight="false" outlineLevel="0" collapsed="false">
      <c r="A99" s="448"/>
      <c r="B99" s="448"/>
      <c r="C99" s="448"/>
      <c r="D99" s="448"/>
      <c r="E99" s="448"/>
      <c r="F99" s="456"/>
      <c r="G99" s="1"/>
      <c r="Q99" s="443"/>
      <c r="R99" s="443"/>
    </row>
    <row r="100" customFormat="false" ht="12.75" hidden="false" customHeight="false" outlineLevel="0" collapsed="false">
      <c r="A100" s="1"/>
      <c r="B100" s="1"/>
      <c r="C100" s="1"/>
      <c r="D100" s="1"/>
      <c r="E100" s="1"/>
      <c r="F100" s="1"/>
      <c r="G100" s="1"/>
      <c r="Q100" s="443"/>
      <c r="R100" s="443"/>
    </row>
    <row r="101" customFormat="false" ht="12.75" hidden="false" customHeight="false" outlineLevel="0" collapsed="false">
      <c r="A101" s="1"/>
      <c r="B101" s="1"/>
      <c r="C101" s="1"/>
      <c r="D101" s="1"/>
      <c r="E101" s="1"/>
      <c r="F101" s="1"/>
      <c r="G101" s="1"/>
      <c r="Q101" s="443"/>
      <c r="R101" s="443"/>
    </row>
    <row r="102" customFormat="false" ht="12.75" hidden="false" customHeight="false" outlineLevel="0" collapsed="false">
      <c r="A102" s="1"/>
      <c r="B102" s="1"/>
      <c r="C102" s="1"/>
      <c r="D102" s="1"/>
      <c r="E102" s="1"/>
      <c r="F102" s="1"/>
      <c r="G102" s="1"/>
      <c r="Q102" s="443"/>
      <c r="R102" s="443"/>
    </row>
    <row r="103" customFormat="false" ht="12.75" hidden="false" customHeight="false" outlineLevel="0" collapsed="false">
      <c r="A103" s="1"/>
      <c r="B103" s="1"/>
      <c r="C103" s="1"/>
      <c r="D103" s="1"/>
      <c r="E103" s="1"/>
      <c r="F103" s="1"/>
      <c r="G103" s="1"/>
      <c r="Q103" s="443"/>
      <c r="R103" s="443"/>
    </row>
    <row r="104" customFormat="false" ht="12.75" hidden="false" customHeight="false" outlineLevel="0" collapsed="false">
      <c r="A104" s="1"/>
      <c r="B104" s="1"/>
      <c r="C104" s="1"/>
      <c r="D104" s="1"/>
      <c r="E104" s="1"/>
      <c r="F104" s="1"/>
      <c r="G104" s="1"/>
      <c r="Q104" s="443"/>
      <c r="R104" s="443"/>
    </row>
    <row r="105" customFormat="false" ht="12.75" hidden="false" customHeight="false" outlineLevel="0" collapsed="false">
      <c r="A105" s="1"/>
      <c r="B105" s="1"/>
      <c r="C105" s="1"/>
      <c r="D105" s="1"/>
      <c r="E105" s="1"/>
      <c r="F105" s="1"/>
      <c r="G105" s="1"/>
      <c r="Q105" s="443"/>
      <c r="R105" s="443"/>
    </row>
    <row r="106" customFormat="false" ht="12.75" hidden="false" customHeight="false" outlineLevel="0" collapsed="false">
      <c r="A106" s="1"/>
      <c r="B106" s="1"/>
      <c r="C106" s="1"/>
      <c r="D106" s="1"/>
      <c r="E106" s="1"/>
      <c r="F106" s="1"/>
      <c r="G106" s="1"/>
      <c r="Q106" s="443"/>
      <c r="R106" s="443"/>
    </row>
    <row r="107" customFormat="false" ht="12.75" hidden="false" customHeight="false" outlineLevel="0" collapsed="false">
      <c r="A107" s="1"/>
      <c r="B107" s="1"/>
      <c r="C107" s="1"/>
      <c r="D107" s="1"/>
      <c r="E107" s="1"/>
      <c r="F107" s="1"/>
      <c r="G107" s="1"/>
      <c r="Q107" s="443"/>
      <c r="R107" s="443"/>
    </row>
    <row r="108" customFormat="false" ht="12.75" hidden="false" customHeight="false" outlineLevel="0" collapsed="false">
      <c r="A108" s="1"/>
      <c r="B108" s="1"/>
      <c r="C108" s="1"/>
      <c r="D108" s="1"/>
      <c r="E108" s="1"/>
      <c r="F108" s="1"/>
      <c r="G108" s="1"/>
      <c r="Q108" s="443"/>
      <c r="R108" s="443"/>
    </row>
    <row r="109" customFormat="false" ht="12.75" hidden="false" customHeight="false" outlineLevel="0" collapsed="false">
      <c r="A109" s="1"/>
      <c r="B109" s="1"/>
      <c r="C109" s="1"/>
      <c r="D109" s="1"/>
      <c r="E109" s="1"/>
      <c r="F109" s="1"/>
      <c r="G109" s="1"/>
      <c r="Q109" s="443"/>
      <c r="R109" s="443"/>
    </row>
    <row r="110" customFormat="false" ht="12.75" hidden="false" customHeight="false" outlineLevel="0" collapsed="false">
      <c r="A110" s="1"/>
      <c r="B110" s="1"/>
      <c r="C110" s="1"/>
      <c r="D110" s="1"/>
      <c r="E110" s="1"/>
      <c r="F110" s="1"/>
      <c r="G110" s="1"/>
      <c r="Q110" s="443"/>
      <c r="R110" s="443"/>
    </row>
    <row r="111" customFormat="false" ht="12.75" hidden="false" customHeight="false" outlineLevel="0" collapsed="false">
      <c r="A111" s="1"/>
      <c r="B111" s="1"/>
      <c r="C111" s="1"/>
      <c r="D111" s="1"/>
      <c r="E111" s="1"/>
      <c r="F111" s="1"/>
      <c r="G111" s="1"/>
      <c r="Q111" s="443"/>
      <c r="R111" s="443"/>
    </row>
    <row r="112" customFormat="false" ht="12.75" hidden="false" customHeight="false" outlineLevel="0" collapsed="false">
      <c r="A112" s="1"/>
      <c r="B112" s="1"/>
      <c r="C112" s="1"/>
      <c r="D112" s="1"/>
      <c r="E112" s="1"/>
      <c r="F112" s="1"/>
      <c r="G112" s="1"/>
      <c r="Q112" s="443"/>
      <c r="R112" s="443"/>
    </row>
    <row r="113" customFormat="false" ht="12.75" hidden="false" customHeight="false" outlineLevel="0" collapsed="false">
      <c r="A113" s="1"/>
      <c r="B113" s="1"/>
      <c r="C113" s="1"/>
      <c r="D113" s="1"/>
      <c r="E113" s="1"/>
      <c r="F113" s="1"/>
      <c r="G113" s="1"/>
      <c r="Q113" s="443"/>
      <c r="R113" s="443"/>
    </row>
    <row r="114" customFormat="false" ht="12.75" hidden="false" customHeight="false" outlineLevel="0" collapsed="false">
      <c r="A114" s="1"/>
      <c r="B114" s="1"/>
      <c r="C114" s="1"/>
      <c r="D114" s="1"/>
      <c r="E114" s="1"/>
      <c r="F114" s="1"/>
      <c r="G114" s="1"/>
      <c r="Q114" s="443"/>
      <c r="R114" s="443"/>
    </row>
    <row r="115" customFormat="false" ht="12.75" hidden="false" customHeight="false" outlineLevel="0" collapsed="false">
      <c r="A115" s="1"/>
      <c r="B115" s="1"/>
      <c r="C115" s="1"/>
      <c r="D115" s="1"/>
      <c r="E115" s="1"/>
      <c r="F115" s="1"/>
      <c r="G115" s="1"/>
      <c r="Q115" s="443"/>
      <c r="R115" s="443"/>
    </row>
    <row r="116" customFormat="false" ht="12.75" hidden="false" customHeight="false" outlineLevel="0" collapsed="false">
      <c r="A116" s="1"/>
      <c r="B116" s="1"/>
      <c r="C116" s="1"/>
      <c r="D116" s="1"/>
      <c r="E116" s="1"/>
      <c r="F116" s="1"/>
      <c r="G116" s="1"/>
      <c r="Q116" s="443"/>
      <c r="R116" s="443"/>
    </row>
    <row r="117" customFormat="false" ht="12.75" hidden="false" customHeight="false" outlineLevel="0" collapsed="false">
      <c r="A117" s="1"/>
      <c r="B117" s="1"/>
      <c r="C117" s="1"/>
      <c r="D117" s="1"/>
      <c r="E117" s="1"/>
      <c r="F117" s="1"/>
      <c r="G117" s="1"/>
      <c r="Q117" s="443"/>
      <c r="R117" s="443"/>
    </row>
    <row r="118" customFormat="false" ht="12.75" hidden="false" customHeight="false" outlineLevel="0" collapsed="false">
      <c r="A118" s="1"/>
      <c r="B118" s="1"/>
      <c r="C118" s="1"/>
      <c r="D118" s="1"/>
      <c r="E118" s="1"/>
      <c r="F118" s="1"/>
      <c r="G118" s="1"/>
      <c r="Q118" s="443"/>
      <c r="R118" s="443"/>
    </row>
    <row r="119" customFormat="false" ht="12.75" hidden="false" customHeight="false" outlineLevel="0" collapsed="false">
      <c r="A119" s="1"/>
      <c r="B119" s="1"/>
      <c r="C119" s="1"/>
      <c r="D119" s="1"/>
      <c r="E119" s="1"/>
      <c r="F119" s="1"/>
      <c r="G119" s="1"/>
      <c r="Q119" s="443"/>
      <c r="R119" s="443"/>
    </row>
    <row r="120" customFormat="false" ht="12.75" hidden="false" customHeight="false" outlineLevel="0" collapsed="false">
      <c r="A120" s="1"/>
      <c r="B120" s="1"/>
      <c r="C120" s="1"/>
      <c r="D120" s="1"/>
      <c r="E120" s="1"/>
      <c r="F120" s="1"/>
      <c r="G120" s="1"/>
      <c r="Q120" s="443"/>
      <c r="R120" s="443"/>
    </row>
    <row r="121" customFormat="false" ht="12.75" hidden="false" customHeight="false" outlineLevel="0" collapsed="false">
      <c r="A121" s="1"/>
      <c r="B121" s="1"/>
      <c r="C121" s="1"/>
      <c r="D121" s="1"/>
      <c r="E121" s="1"/>
      <c r="F121" s="1"/>
      <c r="G121" s="1"/>
      <c r="Q121" s="443"/>
      <c r="R121" s="443"/>
    </row>
    <row r="122" customFormat="false" ht="12.75" hidden="false" customHeight="false" outlineLevel="0" collapsed="false">
      <c r="A122" s="1"/>
      <c r="B122" s="1"/>
      <c r="C122" s="1"/>
      <c r="D122" s="1"/>
      <c r="E122" s="1"/>
      <c r="F122" s="1"/>
      <c r="G122" s="1"/>
      <c r="Q122" s="443"/>
      <c r="R122" s="443"/>
    </row>
    <row r="123" customFormat="false" ht="12.75" hidden="false" customHeight="false" outlineLevel="0" collapsed="false">
      <c r="A123" s="1"/>
      <c r="B123" s="1"/>
      <c r="C123" s="1"/>
      <c r="D123" s="1"/>
      <c r="E123" s="1"/>
      <c r="F123" s="1"/>
      <c r="G123" s="1"/>
      <c r="Q123" s="443"/>
      <c r="R123" s="443"/>
    </row>
    <row r="124" customFormat="false" ht="12.75" hidden="false" customHeight="false" outlineLevel="0" collapsed="false">
      <c r="A124" s="1"/>
      <c r="B124" s="1"/>
      <c r="C124" s="1"/>
      <c r="D124" s="1"/>
      <c r="E124" s="1"/>
      <c r="F124" s="1"/>
      <c r="G124" s="1"/>
      <c r="Q124" s="443"/>
      <c r="R124" s="443"/>
    </row>
    <row r="125" customFormat="false" ht="12.75" hidden="false" customHeight="false" outlineLevel="0" collapsed="false">
      <c r="A125" s="1"/>
      <c r="B125" s="1"/>
      <c r="C125" s="1"/>
      <c r="D125" s="1"/>
      <c r="E125" s="1"/>
      <c r="F125" s="1"/>
      <c r="G125" s="1"/>
      <c r="Q125" s="443"/>
      <c r="R125" s="443"/>
    </row>
    <row r="126" customFormat="false" ht="12.75" hidden="false" customHeight="false" outlineLevel="0" collapsed="false">
      <c r="A126" s="1"/>
      <c r="B126" s="1"/>
      <c r="C126" s="1"/>
      <c r="D126" s="1"/>
      <c r="E126" s="1"/>
      <c r="F126" s="1"/>
      <c r="G126" s="1"/>
      <c r="Q126" s="443"/>
      <c r="R126" s="443"/>
    </row>
    <row r="127" customFormat="false" ht="12.75" hidden="false" customHeight="false" outlineLevel="0" collapsed="false">
      <c r="A127" s="1"/>
      <c r="B127" s="1"/>
      <c r="C127" s="1"/>
      <c r="D127" s="1"/>
      <c r="E127" s="1"/>
      <c r="F127" s="1"/>
      <c r="G127" s="1"/>
      <c r="Q127" s="443"/>
      <c r="R127" s="443"/>
    </row>
    <row r="128" customFormat="false" ht="12.75" hidden="false" customHeight="false" outlineLevel="0" collapsed="false">
      <c r="A128" s="1"/>
      <c r="B128" s="1"/>
      <c r="C128" s="1"/>
      <c r="D128" s="1"/>
      <c r="E128" s="1"/>
      <c r="F128" s="1"/>
      <c r="G128" s="1"/>
      <c r="Q128" s="443"/>
      <c r="R128" s="443"/>
    </row>
    <row r="129" customFormat="false" ht="12.75" hidden="false" customHeight="false" outlineLevel="0" collapsed="false">
      <c r="A129" s="1"/>
      <c r="B129" s="1"/>
      <c r="C129" s="1"/>
      <c r="D129" s="1"/>
      <c r="E129" s="1"/>
      <c r="F129" s="1"/>
      <c r="G129" s="1"/>
      <c r="Q129" s="443"/>
      <c r="R129" s="443"/>
    </row>
    <row r="130" customFormat="false" ht="12.75" hidden="false" customHeight="false" outlineLevel="0" collapsed="false">
      <c r="A130" s="1"/>
      <c r="B130" s="1"/>
      <c r="C130" s="1"/>
      <c r="D130" s="1"/>
      <c r="E130" s="1"/>
      <c r="F130" s="1"/>
      <c r="G130" s="1"/>
      <c r="Q130" s="443"/>
      <c r="R130" s="443"/>
    </row>
    <row r="131" customFormat="false" ht="12.75" hidden="false" customHeight="false" outlineLevel="0" collapsed="false">
      <c r="A131" s="1"/>
      <c r="B131" s="1"/>
      <c r="C131" s="1"/>
      <c r="D131" s="1"/>
      <c r="E131" s="1"/>
      <c r="F131" s="1"/>
      <c r="G131" s="1"/>
      <c r="Q131" s="443"/>
      <c r="R131" s="443"/>
    </row>
    <row r="132" customFormat="false" ht="12.75" hidden="false" customHeight="false" outlineLevel="0" collapsed="false">
      <c r="A132" s="1"/>
      <c r="B132" s="1"/>
      <c r="C132" s="1"/>
      <c r="D132" s="1"/>
      <c r="E132" s="1"/>
      <c r="F132" s="1"/>
      <c r="G132" s="1"/>
      <c r="Q132" s="443"/>
      <c r="R132" s="443"/>
    </row>
    <row r="133" customFormat="false" ht="12.75" hidden="false" customHeight="false" outlineLevel="0" collapsed="false">
      <c r="A133" s="1"/>
      <c r="B133" s="1"/>
      <c r="C133" s="1"/>
      <c r="D133" s="1"/>
      <c r="E133" s="1"/>
      <c r="F133" s="1"/>
      <c r="Q133" s="443"/>
      <c r="R133" s="443"/>
    </row>
    <row r="134" customFormat="false" ht="11.25" hidden="false" customHeight="false" outlineLevel="0" collapsed="false">
      <c r="Q134" s="443"/>
      <c r="R134" s="443"/>
    </row>
    <row r="135" customFormat="false" ht="11.25" hidden="false" customHeight="false" outlineLevel="0" collapsed="false">
      <c r="Q135" s="443"/>
      <c r="R135" s="443"/>
    </row>
    <row r="136" customFormat="false" ht="11.25" hidden="false" customHeight="false" outlineLevel="0" collapsed="false">
      <c r="Q136" s="443"/>
      <c r="R136" s="443"/>
    </row>
    <row r="137" customFormat="false" ht="11.25" hidden="false" customHeight="false" outlineLevel="0" collapsed="false">
      <c r="Q137" s="443"/>
      <c r="R137" s="443"/>
    </row>
    <row r="138" customFormat="false" ht="11.25" hidden="false" customHeight="false" outlineLevel="0" collapsed="false">
      <c r="Q138" s="443"/>
      <c r="R138" s="443"/>
    </row>
    <row r="139" customFormat="false" ht="11.25" hidden="false" customHeight="false" outlineLevel="0" collapsed="false">
      <c r="Q139" s="443"/>
      <c r="R139" s="443"/>
    </row>
    <row r="140" customFormat="false" ht="11.25" hidden="false" customHeight="false" outlineLevel="0" collapsed="false">
      <c r="Q140" s="443"/>
      <c r="R140" s="443"/>
    </row>
    <row r="141" customFormat="false" ht="11.25" hidden="false" customHeight="false" outlineLevel="0" collapsed="false">
      <c r="Q141" s="443"/>
      <c r="R141" s="443"/>
    </row>
    <row r="142" customFormat="false" ht="11.25" hidden="false" customHeight="false" outlineLevel="0" collapsed="false">
      <c r="Q142" s="443"/>
      <c r="R142" s="443"/>
    </row>
    <row r="143" customFormat="false" ht="11.25" hidden="false" customHeight="false" outlineLevel="0" collapsed="false">
      <c r="Q143" s="443"/>
      <c r="R143" s="443"/>
    </row>
    <row r="144" customFormat="false" ht="11.25" hidden="false" customHeight="false" outlineLevel="0" collapsed="false">
      <c r="Q144" s="443"/>
      <c r="R144" s="443"/>
    </row>
    <row r="145" customFormat="false" ht="11.25" hidden="false" customHeight="false" outlineLevel="0" collapsed="false">
      <c r="Q145" s="443"/>
      <c r="R145" s="443"/>
    </row>
    <row r="146" customFormat="false" ht="11.25" hidden="false" customHeight="false" outlineLevel="0" collapsed="false">
      <c r="Q146" s="443"/>
      <c r="R146" s="443"/>
    </row>
    <row r="147" customFormat="false" ht="11.25" hidden="false" customHeight="false" outlineLevel="0" collapsed="false">
      <c r="Q147" s="443"/>
      <c r="R147" s="443"/>
    </row>
    <row r="148" customFormat="false" ht="11.25" hidden="false" customHeight="false" outlineLevel="0" collapsed="false">
      <c r="Q148" s="443"/>
      <c r="R148" s="443"/>
    </row>
    <row r="149" customFormat="false" ht="11.25" hidden="false" customHeight="false" outlineLevel="0" collapsed="false">
      <c r="Q149" s="443"/>
      <c r="R149" s="443"/>
    </row>
    <row r="150" customFormat="false" ht="11.25" hidden="false" customHeight="false" outlineLevel="0" collapsed="false">
      <c r="Q150" s="443"/>
      <c r="R150" s="443"/>
    </row>
    <row r="151" customFormat="false" ht="11.25" hidden="false" customHeight="false" outlineLevel="0" collapsed="false">
      <c r="Q151" s="443"/>
      <c r="R151" s="443"/>
    </row>
    <row r="152" customFormat="false" ht="11.25" hidden="false" customHeight="false" outlineLevel="0" collapsed="false">
      <c r="Q152" s="443"/>
      <c r="R152" s="443"/>
    </row>
    <row r="153" customFormat="false" ht="11.25" hidden="false" customHeight="false" outlineLevel="0" collapsed="false">
      <c r="Q153" s="443"/>
      <c r="R153" s="443"/>
    </row>
    <row r="154" customFormat="false" ht="11.25" hidden="false" customHeight="false" outlineLevel="0" collapsed="false">
      <c r="Q154" s="443"/>
      <c r="R154" s="443"/>
    </row>
    <row r="155" customFormat="false" ht="11.25" hidden="false" customHeight="false" outlineLevel="0" collapsed="false">
      <c r="Q155" s="443"/>
      <c r="R155" s="443"/>
    </row>
    <row r="156" customFormat="false" ht="11.25" hidden="false" customHeight="false" outlineLevel="0" collapsed="false">
      <c r="Q156" s="443"/>
      <c r="R156" s="443"/>
    </row>
    <row r="157" customFormat="false" ht="11.25" hidden="false" customHeight="false" outlineLevel="0" collapsed="false">
      <c r="Q157" s="443"/>
      <c r="R157" s="443"/>
    </row>
    <row r="158" customFormat="false" ht="11.25" hidden="false" customHeight="false" outlineLevel="0" collapsed="false">
      <c r="Q158" s="443"/>
      <c r="R158" s="443"/>
    </row>
    <row r="159" customFormat="false" ht="11.25" hidden="false" customHeight="false" outlineLevel="0" collapsed="false">
      <c r="Q159" s="443"/>
      <c r="R159" s="443"/>
    </row>
    <row r="160" customFormat="false" ht="11.25" hidden="false" customHeight="false" outlineLevel="0" collapsed="false">
      <c r="Q160" s="443"/>
      <c r="R160" s="443"/>
    </row>
    <row r="161" customFormat="false" ht="11.25" hidden="false" customHeight="false" outlineLevel="0" collapsed="false">
      <c r="Q161" s="443"/>
      <c r="R161" s="443"/>
    </row>
    <row r="162" customFormat="false" ht="11.25" hidden="false" customHeight="false" outlineLevel="0" collapsed="false">
      <c r="Q162" s="443"/>
      <c r="R162" s="443"/>
    </row>
    <row r="163" customFormat="false" ht="11.25" hidden="false" customHeight="false" outlineLevel="0" collapsed="false">
      <c r="Q163" s="443"/>
      <c r="R163" s="443"/>
    </row>
    <row r="164" customFormat="false" ht="11.25" hidden="false" customHeight="false" outlineLevel="0" collapsed="false">
      <c r="Q164" s="443"/>
      <c r="R164" s="443"/>
    </row>
    <row r="165" customFormat="false" ht="11.25" hidden="false" customHeight="false" outlineLevel="0" collapsed="false">
      <c r="Q165" s="443"/>
      <c r="R165" s="443"/>
    </row>
    <row r="166" customFormat="false" ht="11.25" hidden="false" customHeight="false" outlineLevel="0" collapsed="false">
      <c r="F166" s="523"/>
      <c r="Q166" s="443"/>
      <c r="R166" s="443"/>
    </row>
    <row r="167" customFormat="false" ht="11.25" hidden="false" customHeight="false" outlineLevel="0" collapsed="false">
      <c r="Q167" s="443"/>
      <c r="R167" s="443"/>
    </row>
    <row r="168" customFormat="false" ht="11.25" hidden="false" customHeight="false" outlineLevel="0" collapsed="false">
      <c r="Q168" s="443"/>
      <c r="R168" s="443"/>
    </row>
    <row r="169" customFormat="false" ht="11.25" hidden="false" customHeight="false" outlineLevel="0" collapsed="false">
      <c r="Q169" s="443"/>
      <c r="R169" s="443"/>
    </row>
    <row r="170" customFormat="false" ht="11.25" hidden="false" customHeight="false" outlineLevel="0" collapsed="false">
      <c r="Q170" s="443"/>
      <c r="R170" s="443"/>
    </row>
    <row r="171" customFormat="false" ht="11.25" hidden="false" customHeight="false" outlineLevel="0" collapsed="false">
      <c r="Q171" s="443"/>
      <c r="R171" s="443"/>
    </row>
    <row r="172" customFormat="false" ht="11.25" hidden="false" customHeight="false" outlineLevel="0" collapsed="false">
      <c r="Q172" s="443"/>
      <c r="R172" s="443"/>
    </row>
    <row r="173" customFormat="false" ht="11.25" hidden="false" customHeight="false" outlineLevel="0" collapsed="false">
      <c r="Q173" s="443"/>
      <c r="R173" s="443"/>
    </row>
    <row r="174" customFormat="false" ht="11.25" hidden="false" customHeight="false" outlineLevel="0" collapsed="false">
      <c r="Q174" s="443"/>
      <c r="R174" s="443"/>
    </row>
    <row r="175" customFormat="false" ht="11.25" hidden="false" customHeight="false" outlineLevel="0" collapsed="false">
      <c r="Q175" s="443"/>
      <c r="R175" s="443"/>
    </row>
    <row r="176" customFormat="false" ht="11.25" hidden="false" customHeight="false" outlineLevel="0" collapsed="false">
      <c r="Q176" s="443"/>
      <c r="R176" s="443"/>
    </row>
    <row r="177" customFormat="false" ht="11.25" hidden="false" customHeight="false" outlineLevel="0" collapsed="false">
      <c r="Q177" s="443"/>
      <c r="R177" s="443"/>
    </row>
    <row r="178" customFormat="false" ht="11.25" hidden="false" customHeight="false" outlineLevel="0" collapsed="false">
      <c r="Q178" s="443"/>
      <c r="R178" s="443"/>
    </row>
    <row r="179" customFormat="false" ht="11.25" hidden="false" customHeight="false" outlineLevel="0" collapsed="false">
      <c r="Q179" s="443"/>
      <c r="R179" s="443"/>
    </row>
    <row r="180" customFormat="false" ht="11.25" hidden="false" customHeight="false" outlineLevel="0" collapsed="false">
      <c r="Q180" s="443"/>
      <c r="R180" s="443"/>
    </row>
    <row r="181" customFormat="false" ht="11.25" hidden="false" customHeight="false" outlineLevel="0" collapsed="false">
      <c r="Q181" s="443"/>
      <c r="R181" s="443"/>
    </row>
    <row r="182" customFormat="false" ht="11.25" hidden="false" customHeight="false" outlineLevel="0" collapsed="false">
      <c r="Q182" s="443"/>
      <c r="R182" s="443"/>
    </row>
    <row r="183" customFormat="false" ht="11.25" hidden="false" customHeight="false" outlineLevel="0" collapsed="false">
      <c r="Q183" s="443"/>
      <c r="R183" s="443"/>
    </row>
    <row r="184" customFormat="false" ht="11.25" hidden="false" customHeight="false" outlineLevel="0" collapsed="false">
      <c r="Q184" s="443"/>
      <c r="R184" s="443"/>
    </row>
    <row r="185" customFormat="false" ht="11.25" hidden="false" customHeight="false" outlineLevel="0" collapsed="false">
      <c r="Q185" s="443"/>
      <c r="R185" s="443"/>
    </row>
    <row r="186" customFormat="false" ht="11.25" hidden="false" customHeight="false" outlineLevel="0" collapsed="false">
      <c r="Q186" s="443"/>
      <c r="R186" s="443"/>
    </row>
    <row r="187" customFormat="false" ht="11.25" hidden="false" customHeight="false" outlineLevel="0" collapsed="false">
      <c r="Q187" s="443"/>
      <c r="R187" s="443"/>
    </row>
    <row r="188" customFormat="false" ht="11.25" hidden="false" customHeight="false" outlineLevel="0" collapsed="false">
      <c r="Q188" s="443"/>
      <c r="R188" s="443"/>
    </row>
    <row r="189" customFormat="false" ht="11.25" hidden="false" customHeight="false" outlineLevel="0" collapsed="false">
      <c r="Q189" s="443"/>
      <c r="R189" s="443"/>
    </row>
    <row r="190" customFormat="false" ht="11.25" hidden="false" customHeight="false" outlineLevel="0" collapsed="false">
      <c r="Q190" s="443"/>
      <c r="R190" s="443"/>
    </row>
    <row r="191" customFormat="false" ht="11.25" hidden="false" customHeight="false" outlineLevel="0" collapsed="false">
      <c r="Q191" s="443"/>
      <c r="R191" s="443"/>
    </row>
    <row r="192" customFormat="false" ht="11.25" hidden="false" customHeight="false" outlineLevel="0" collapsed="false">
      <c r="Q192" s="443"/>
      <c r="R192" s="443"/>
    </row>
    <row r="193" customFormat="false" ht="11.25" hidden="false" customHeight="false" outlineLevel="0" collapsed="false">
      <c r="Q193" s="443"/>
      <c r="R193" s="443"/>
    </row>
    <row r="194" customFormat="false" ht="11.25" hidden="false" customHeight="false" outlineLevel="0" collapsed="false">
      <c r="Q194" s="443"/>
      <c r="R194" s="443"/>
    </row>
    <row r="195" customFormat="false" ht="11.25" hidden="false" customHeight="false" outlineLevel="0" collapsed="false">
      <c r="Q195" s="443"/>
      <c r="R195" s="443"/>
    </row>
    <row r="196" customFormat="false" ht="11.25" hidden="false" customHeight="false" outlineLevel="0" collapsed="false">
      <c r="Q196" s="443"/>
      <c r="R196" s="443"/>
    </row>
    <row r="197" customFormat="false" ht="11.25" hidden="false" customHeight="false" outlineLevel="0" collapsed="false">
      <c r="Q197" s="443"/>
      <c r="R197" s="443"/>
    </row>
    <row r="198" customFormat="false" ht="11.25" hidden="false" customHeight="false" outlineLevel="0" collapsed="false">
      <c r="Q198" s="443"/>
      <c r="R198" s="443"/>
    </row>
    <row r="199" customFormat="false" ht="11.25" hidden="false" customHeight="false" outlineLevel="0" collapsed="false">
      <c r="Q199" s="443"/>
      <c r="R199" s="443"/>
    </row>
    <row r="200" customFormat="false" ht="11.25" hidden="false" customHeight="false" outlineLevel="0" collapsed="false">
      <c r="Q200" s="443"/>
      <c r="R200" s="443"/>
    </row>
    <row r="201" customFormat="false" ht="11.25" hidden="false" customHeight="false" outlineLevel="0" collapsed="false">
      <c r="Q201" s="443"/>
      <c r="R201" s="443"/>
    </row>
    <row r="202" customFormat="false" ht="11.25" hidden="false" customHeight="false" outlineLevel="0" collapsed="false">
      <c r="Q202" s="443"/>
      <c r="R202" s="443"/>
    </row>
    <row r="203" customFormat="false" ht="11.25" hidden="false" customHeight="false" outlineLevel="0" collapsed="false">
      <c r="Q203" s="443"/>
      <c r="R203" s="443"/>
    </row>
    <row r="204" customFormat="false" ht="11.25" hidden="false" customHeight="false" outlineLevel="0" collapsed="false">
      <c r="Q204" s="443"/>
      <c r="R204" s="443"/>
    </row>
    <row r="205" customFormat="false" ht="11.25" hidden="false" customHeight="false" outlineLevel="0" collapsed="false">
      <c r="Q205" s="443"/>
      <c r="R205" s="443"/>
    </row>
    <row r="206" customFormat="false" ht="11.25" hidden="false" customHeight="false" outlineLevel="0" collapsed="false">
      <c r="Q206" s="443"/>
      <c r="R206" s="443"/>
    </row>
    <row r="207" customFormat="false" ht="11.25" hidden="false" customHeight="false" outlineLevel="0" collapsed="false">
      <c r="Q207" s="443"/>
      <c r="R207" s="443"/>
    </row>
    <row r="208" customFormat="false" ht="11.25" hidden="false" customHeight="false" outlineLevel="0" collapsed="false">
      <c r="Q208" s="443"/>
      <c r="R208" s="443"/>
    </row>
    <row r="209" customFormat="false" ht="11.25" hidden="false" customHeight="false" outlineLevel="0" collapsed="false">
      <c r="Q209" s="443"/>
      <c r="R209" s="443"/>
    </row>
    <row r="210" customFormat="false" ht="11.25" hidden="false" customHeight="false" outlineLevel="0" collapsed="false">
      <c r="Q210" s="443"/>
      <c r="R210" s="443"/>
    </row>
    <row r="211" customFormat="false" ht="11.25" hidden="false" customHeight="false" outlineLevel="0" collapsed="false">
      <c r="Q211" s="443"/>
      <c r="R211" s="443"/>
    </row>
    <row r="212" customFormat="false" ht="11.25" hidden="false" customHeight="false" outlineLevel="0" collapsed="false">
      <c r="Q212" s="443"/>
      <c r="R212" s="443"/>
    </row>
    <row r="213" customFormat="false" ht="11.25" hidden="false" customHeight="false" outlineLevel="0" collapsed="false">
      <c r="Q213" s="443"/>
      <c r="R213" s="443"/>
    </row>
    <row r="214" customFormat="false" ht="11.25" hidden="false" customHeight="false" outlineLevel="0" collapsed="false">
      <c r="Q214" s="443"/>
      <c r="R214" s="443"/>
    </row>
    <row r="215" customFormat="false" ht="11.25" hidden="false" customHeight="false" outlineLevel="0" collapsed="false">
      <c r="Q215" s="443"/>
      <c r="R215" s="443"/>
    </row>
    <row r="216" customFormat="false" ht="11.25" hidden="false" customHeight="false" outlineLevel="0" collapsed="false">
      <c r="Q216" s="443"/>
      <c r="R216" s="443"/>
    </row>
    <row r="217" customFormat="false" ht="11.25" hidden="false" customHeight="false" outlineLevel="0" collapsed="false">
      <c r="Q217" s="443"/>
      <c r="R217" s="443"/>
    </row>
    <row r="218" customFormat="false" ht="11.25" hidden="false" customHeight="false" outlineLevel="0" collapsed="false">
      <c r="Q218" s="443"/>
      <c r="R218" s="443"/>
    </row>
    <row r="219" customFormat="false" ht="11.25" hidden="false" customHeight="false" outlineLevel="0" collapsed="false">
      <c r="Q219" s="443"/>
      <c r="R219" s="443"/>
    </row>
    <row r="220" customFormat="false" ht="11.25" hidden="false" customHeight="false" outlineLevel="0" collapsed="false">
      <c r="Q220" s="443"/>
      <c r="R220" s="443"/>
    </row>
    <row r="221" customFormat="false" ht="11.25" hidden="false" customHeight="false" outlineLevel="0" collapsed="false">
      <c r="Q221" s="443"/>
      <c r="R221" s="443"/>
    </row>
    <row r="222" customFormat="false" ht="11.25" hidden="false" customHeight="false" outlineLevel="0" collapsed="false">
      <c r="Q222" s="443"/>
      <c r="R222" s="443"/>
    </row>
    <row r="223" customFormat="false" ht="11.25" hidden="false" customHeight="false" outlineLevel="0" collapsed="false">
      <c r="Q223" s="443"/>
      <c r="R223" s="443"/>
    </row>
    <row r="224" customFormat="false" ht="11.25" hidden="false" customHeight="false" outlineLevel="0" collapsed="false">
      <c r="Q224" s="443"/>
      <c r="R224" s="443"/>
    </row>
    <row r="225" customFormat="false" ht="11.25" hidden="false" customHeight="false" outlineLevel="0" collapsed="false">
      <c r="Q225" s="443"/>
      <c r="R225" s="443"/>
    </row>
    <row r="226" customFormat="false" ht="11.25" hidden="false" customHeight="false" outlineLevel="0" collapsed="false">
      <c r="Q226" s="443"/>
      <c r="R226" s="443"/>
    </row>
    <row r="227" customFormat="false" ht="11.25" hidden="false" customHeight="false" outlineLevel="0" collapsed="false">
      <c r="Q227" s="443"/>
      <c r="R227" s="443"/>
    </row>
    <row r="228" customFormat="false" ht="11.25" hidden="false" customHeight="false" outlineLevel="0" collapsed="false">
      <c r="Q228" s="443"/>
      <c r="R228" s="443"/>
    </row>
    <row r="229" customFormat="false" ht="11.25" hidden="false" customHeight="false" outlineLevel="0" collapsed="false">
      <c r="Q229" s="443"/>
      <c r="R229" s="443"/>
    </row>
    <row r="230" customFormat="false" ht="11.25" hidden="false" customHeight="false" outlineLevel="0" collapsed="false">
      <c r="Q230" s="443"/>
      <c r="R230" s="443"/>
    </row>
    <row r="231" customFormat="false" ht="11.25" hidden="false" customHeight="false" outlineLevel="0" collapsed="false">
      <c r="Q231" s="443"/>
      <c r="R231" s="443"/>
    </row>
    <row r="232" customFormat="false" ht="11.25" hidden="false" customHeight="false" outlineLevel="0" collapsed="false">
      <c r="Q232" s="443"/>
      <c r="R232" s="443"/>
    </row>
    <row r="233" customFormat="false" ht="11.25" hidden="false" customHeight="false" outlineLevel="0" collapsed="false">
      <c r="Q233" s="443"/>
      <c r="R233" s="443"/>
    </row>
    <row r="234" customFormat="false" ht="11.25" hidden="false" customHeight="false" outlineLevel="0" collapsed="false">
      <c r="Q234" s="443"/>
      <c r="R234" s="443"/>
    </row>
    <row r="235" customFormat="false" ht="11.25" hidden="false" customHeight="false" outlineLevel="0" collapsed="false">
      <c r="Q235" s="443"/>
      <c r="R235" s="443"/>
    </row>
    <row r="236" customFormat="false" ht="11.25" hidden="false" customHeight="false" outlineLevel="0" collapsed="false">
      <c r="Q236" s="443"/>
      <c r="R236" s="443"/>
    </row>
    <row r="237" customFormat="false" ht="11.25" hidden="false" customHeight="false" outlineLevel="0" collapsed="false">
      <c r="Q237" s="443"/>
      <c r="R237" s="443"/>
    </row>
    <row r="238" customFormat="false" ht="11.25" hidden="false" customHeight="false" outlineLevel="0" collapsed="false">
      <c r="Q238" s="443"/>
      <c r="R238" s="443"/>
    </row>
    <row r="239" customFormat="false" ht="11.25" hidden="false" customHeight="false" outlineLevel="0" collapsed="false">
      <c r="Q239" s="443"/>
      <c r="R239" s="443"/>
    </row>
    <row r="240" customFormat="false" ht="11.25" hidden="false" customHeight="false" outlineLevel="0" collapsed="false">
      <c r="Q240" s="443"/>
      <c r="R240" s="443"/>
    </row>
    <row r="241" customFormat="false" ht="11.25" hidden="false" customHeight="false" outlineLevel="0" collapsed="false">
      <c r="Q241" s="443"/>
      <c r="R241" s="443"/>
    </row>
    <row r="242" customFormat="false" ht="11.25" hidden="false" customHeight="false" outlineLevel="0" collapsed="false">
      <c r="Q242" s="443"/>
      <c r="R242" s="443"/>
    </row>
    <row r="243" customFormat="false" ht="11.25" hidden="false" customHeight="false" outlineLevel="0" collapsed="false">
      <c r="Q243" s="443"/>
      <c r="R243" s="443"/>
    </row>
    <row r="244" customFormat="false" ht="11.25" hidden="false" customHeight="false" outlineLevel="0" collapsed="false">
      <c r="Q244" s="443"/>
      <c r="R244" s="443"/>
    </row>
    <row r="245" customFormat="false" ht="11.25" hidden="false" customHeight="false" outlineLevel="0" collapsed="false">
      <c r="Q245" s="443"/>
      <c r="R245" s="443"/>
    </row>
    <row r="246" customFormat="false" ht="11.25" hidden="false" customHeight="false" outlineLevel="0" collapsed="false">
      <c r="Q246" s="443"/>
      <c r="R246" s="443"/>
    </row>
    <row r="247" customFormat="false" ht="11.25" hidden="false" customHeight="false" outlineLevel="0" collapsed="false">
      <c r="Q247" s="443"/>
      <c r="R247" s="443"/>
    </row>
    <row r="248" customFormat="false" ht="11.25" hidden="false" customHeight="false" outlineLevel="0" collapsed="false">
      <c r="Q248" s="443"/>
      <c r="R248" s="443"/>
    </row>
    <row r="249" customFormat="false" ht="11.25" hidden="false" customHeight="false" outlineLevel="0" collapsed="false">
      <c r="Q249" s="443"/>
      <c r="R249" s="443"/>
    </row>
    <row r="250" customFormat="false" ht="11.25" hidden="false" customHeight="false" outlineLevel="0" collapsed="false">
      <c r="Q250" s="443"/>
      <c r="R250" s="443"/>
    </row>
    <row r="251" customFormat="false" ht="11.25" hidden="false" customHeight="false" outlineLevel="0" collapsed="false">
      <c r="Q251" s="443"/>
      <c r="R251" s="443"/>
    </row>
    <row r="252" customFormat="false" ht="11.25" hidden="false" customHeight="false" outlineLevel="0" collapsed="false">
      <c r="Q252" s="443"/>
      <c r="R252" s="443"/>
    </row>
    <row r="253" customFormat="false" ht="11.25" hidden="false" customHeight="false" outlineLevel="0" collapsed="false">
      <c r="Q253" s="443"/>
      <c r="R253" s="443"/>
    </row>
    <row r="254" customFormat="false" ht="11.25" hidden="false" customHeight="false" outlineLevel="0" collapsed="false">
      <c r="Q254" s="443"/>
      <c r="R254" s="443"/>
    </row>
    <row r="255" customFormat="false" ht="11.25" hidden="false" customHeight="false" outlineLevel="0" collapsed="false">
      <c r="Q255" s="443"/>
      <c r="R255" s="443"/>
    </row>
    <row r="256" customFormat="false" ht="11.25" hidden="false" customHeight="false" outlineLevel="0" collapsed="false">
      <c r="Q256" s="443"/>
      <c r="R256" s="443"/>
    </row>
    <row r="257" customFormat="false" ht="11.25" hidden="false" customHeight="false" outlineLevel="0" collapsed="false">
      <c r="Q257" s="443"/>
      <c r="R257" s="443"/>
    </row>
    <row r="258" customFormat="false" ht="11.25" hidden="false" customHeight="false" outlineLevel="0" collapsed="false">
      <c r="Q258" s="443"/>
      <c r="R258" s="443"/>
    </row>
    <row r="259" customFormat="false" ht="11.25" hidden="false" customHeight="false" outlineLevel="0" collapsed="false">
      <c r="Q259" s="443"/>
      <c r="R259" s="443"/>
    </row>
    <row r="260" customFormat="false" ht="11.25" hidden="false" customHeight="false" outlineLevel="0" collapsed="false">
      <c r="Q260" s="443"/>
      <c r="R260" s="443"/>
    </row>
    <row r="261" customFormat="false" ht="11.25" hidden="false" customHeight="false" outlineLevel="0" collapsed="false">
      <c r="Q261" s="443"/>
      <c r="R261" s="443"/>
    </row>
    <row r="262" customFormat="false" ht="11.25" hidden="false" customHeight="false" outlineLevel="0" collapsed="false">
      <c r="Q262" s="443"/>
      <c r="R262" s="443"/>
    </row>
    <row r="263" customFormat="false" ht="11.25" hidden="false" customHeight="false" outlineLevel="0" collapsed="false">
      <c r="Q263" s="443"/>
      <c r="R263" s="443"/>
    </row>
    <row r="264" customFormat="false" ht="11.25" hidden="false" customHeight="false" outlineLevel="0" collapsed="false">
      <c r="Q264" s="443"/>
      <c r="R264" s="443"/>
    </row>
    <row r="265" customFormat="false" ht="11.25" hidden="false" customHeight="false" outlineLevel="0" collapsed="false">
      <c r="Q265" s="443"/>
      <c r="R265" s="443"/>
    </row>
    <row r="266" customFormat="false" ht="11.25" hidden="false" customHeight="false" outlineLevel="0" collapsed="false">
      <c r="Q266" s="443"/>
      <c r="R266" s="443"/>
    </row>
    <row r="267" customFormat="false" ht="11.25" hidden="false" customHeight="false" outlineLevel="0" collapsed="false">
      <c r="Q267" s="443"/>
      <c r="R267" s="443"/>
    </row>
    <row r="268" customFormat="false" ht="11.25" hidden="false" customHeight="false" outlineLevel="0" collapsed="false">
      <c r="Q268" s="443"/>
      <c r="R268" s="443"/>
    </row>
    <row r="269" customFormat="false" ht="11.25" hidden="false" customHeight="false" outlineLevel="0" collapsed="false">
      <c r="Q269" s="443"/>
      <c r="R269" s="443"/>
    </row>
    <row r="270" customFormat="false" ht="11.25" hidden="false" customHeight="false" outlineLevel="0" collapsed="false">
      <c r="Q270" s="443"/>
      <c r="R270" s="443"/>
    </row>
    <row r="271" customFormat="false" ht="11.25" hidden="false" customHeight="false" outlineLevel="0" collapsed="false">
      <c r="Q271" s="443"/>
      <c r="R271" s="443"/>
    </row>
    <row r="272" customFormat="false" ht="11.25" hidden="false" customHeight="false" outlineLevel="0" collapsed="false">
      <c r="Q272" s="443"/>
      <c r="R272" s="443"/>
    </row>
    <row r="290" customFormat="false" ht="11.45" hidden="false" customHeight="true" outlineLevel="0" collapsed="false">
      <c r="Q290" s="443"/>
      <c r="R290" s="443"/>
    </row>
    <row r="291" customFormat="false" ht="11.45" hidden="false" customHeight="true" outlineLevel="0" collapsed="false">
      <c r="Q291" s="443"/>
      <c r="R291" s="443"/>
    </row>
    <row r="292" customFormat="false" ht="11.45" hidden="false" customHeight="true" outlineLevel="0" collapsed="false">
      <c r="Q292" s="443"/>
      <c r="R292" s="443"/>
    </row>
    <row r="293" customFormat="false" ht="11.45" hidden="false" customHeight="true" outlineLevel="0" collapsed="false">
      <c r="F293" s="441"/>
      <c r="Q293" s="443"/>
      <c r="R293" s="443"/>
    </row>
    <row r="294" customFormat="false" ht="11.25" hidden="false" customHeight="false" outlineLevel="0" collapsed="false">
      <c r="G294" s="483"/>
      <c r="Q294" s="443"/>
      <c r="R294" s="443"/>
    </row>
    <row r="295" customFormat="false" ht="12.75" hidden="false" customHeight="false" outlineLevel="0" collapsed="false">
      <c r="G295" s="1"/>
      <c r="Q295" s="443"/>
      <c r="R295" s="443"/>
    </row>
    <row r="296" customFormat="false" ht="12.75" hidden="false" customHeight="false" outlineLevel="0" collapsed="false">
      <c r="G296" s="1"/>
      <c r="Q296" s="443"/>
      <c r="R296" s="443"/>
    </row>
    <row r="297" customFormat="false" ht="12.75" hidden="false" customHeight="false" outlineLevel="0" collapsed="false">
      <c r="G297" s="1"/>
      <c r="Q297" s="443"/>
      <c r="R297" s="443"/>
    </row>
    <row r="298" customFormat="false" ht="12.75" hidden="false" customHeight="false" outlineLevel="0" collapsed="false">
      <c r="G298" s="1"/>
      <c r="Q298" s="443"/>
      <c r="R298" s="443"/>
    </row>
    <row r="299" customFormat="false" ht="12.75" hidden="false" customHeight="false" outlineLevel="0" collapsed="false">
      <c r="G299" s="1"/>
      <c r="Q299" s="443"/>
      <c r="R299" s="443"/>
    </row>
    <row r="300" customFormat="false" ht="12.75" hidden="false" customHeight="false" outlineLevel="0" collapsed="false">
      <c r="G300" s="1"/>
      <c r="Q300" s="443"/>
      <c r="R300" s="443"/>
    </row>
    <row r="301" customFormat="false" ht="12.75" hidden="false" customHeight="false" outlineLevel="0" collapsed="false">
      <c r="G301" s="1"/>
      <c r="Q301" s="443"/>
      <c r="R301" s="443"/>
    </row>
    <row r="302" customFormat="false" ht="12.75" hidden="false" customHeight="false" outlineLevel="0" collapsed="false">
      <c r="G302" s="1"/>
      <c r="Q302" s="443"/>
      <c r="R302" s="443"/>
    </row>
    <row r="303" customFormat="false" ht="12.75" hidden="false" customHeight="false" outlineLevel="0" collapsed="false">
      <c r="A303" s="1"/>
      <c r="B303" s="1"/>
      <c r="C303" s="1"/>
      <c r="D303" s="1"/>
      <c r="E303" s="1"/>
      <c r="F303" s="1"/>
      <c r="G303" s="1"/>
      <c r="Q303" s="443"/>
      <c r="R303" s="443"/>
    </row>
    <row r="304" customFormat="false" ht="11.45" hidden="false" customHeight="true" outlineLevel="0" collapsed="false">
      <c r="A304" s="1"/>
      <c r="B304" s="1"/>
      <c r="C304" s="1"/>
      <c r="D304" s="1"/>
      <c r="E304" s="1"/>
      <c r="F304" s="1"/>
      <c r="Q304" s="443"/>
      <c r="R304" s="443"/>
      <c r="S304" s="443"/>
    </row>
    <row r="305" customFormat="false" ht="11.45" hidden="false" customHeight="true" outlineLevel="0" collapsed="false">
      <c r="A305" s="448"/>
      <c r="B305" s="448"/>
      <c r="C305" s="456"/>
      <c r="D305" s="456"/>
      <c r="E305" s="456"/>
      <c r="F305" s="475"/>
      <c r="G305" s="515"/>
      <c r="H305" s="515"/>
      <c r="I305" s="515"/>
      <c r="J305" s="515"/>
      <c r="K305" s="515"/>
      <c r="L305" s="515"/>
      <c r="M305" s="515"/>
      <c r="N305" s="515"/>
      <c r="O305" s="515"/>
      <c r="P305" s="515"/>
      <c r="Q305" s="516"/>
      <c r="R305" s="516"/>
      <c r="S305" s="516"/>
      <c r="T305" s="516"/>
      <c r="U305" s="516"/>
      <c r="V305" s="516"/>
      <c r="W305" s="516"/>
      <c r="X305" s="516"/>
      <c r="Y305" s="516"/>
      <c r="Z305" s="516"/>
      <c r="AA305" s="516"/>
      <c r="AB305" s="516"/>
      <c r="AC305" s="516"/>
      <c r="AD305" s="516"/>
      <c r="AE305" s="516"/>
      <c r="AF305" s="516"/>
    </row>
    <row r="306" customFormat="false" ht="11.45" hidden="false" customHeight="true" outlineLevel="0" collapsed="false">
      <c r="A306" s="456"/>
      <c r="B306" s="456"/>
      <c r="C306" s="448"/>
      <c r="D306" s="448"/>
      <c r="E306" s="448"/>
      <c r="F306" s="515"/>
      <c r="G306" s="517"/>
      <c r="H306" s="517"/>
      <c r="I306" s="517"/>
      <c r="J306" s="517"/>
      <c r="K306" s="517"/>
      <c r="L306" s="517"/>
      <c r="M306" s="517"/>
      <c r="N306" s="517"/>
      <c r="O306" s="517"/>
      <c r="P306" s="517"/>
      <c r="Q306" s="518"/>
      <c r="R306" s="518"/>
      <c r="S306" s="518"/>
      <c r="T306" s="518"/>
      <c r="U306" s="518"/>
      <c r="V306" s="518"/>
      <c r="W306" s="518"/>
      <c r="X306" s="518"/>
      <c r="Y306" s="518"/>
      <c r="Z306" s="518"/>
      <c r="AA306" s="518"/>
      <c r="AB306" s="518"/>
      <c r="AC306" s="518"/>
      <c r="AD306" s="518"/>
      <c r="AE306" s="518"/>
      <c r="AF306" s="518"/>
    </row>
    <row r="307" customFormat="false" ht="11.45" hidden="false" customHeight="true" outlineLevel="0" collapsed="false">
      <c r="A307" s="456"/>
      <c r="B307" s="456"/>
      <c r="C307" s="448"/>
      <c r="D307" s="448"/>
      <c r="E307" s="448"/>
      <c r="F307" s="517"/>
      <c r="Q307" s="443"/>
      <c r="R307" s="443"/>
      <c r="S307" s="443"/>
    </row>
    <row r="308" customFormat="false" ht="11.45" hidden="false" customHeight="true" outlineLevel="0" collapsed="false">
      <c r="A308" s="448"/>
      <c r="B308" s="448"/>
      <c r="C308" s="456"/>
      <c r="D308" s="456"/>
      <c r="E308" s="456"/>
      <c r="F308" s="475"/>
      <c r="G308" s="456"/>
      <c r="H308" s="456"/>
      <c r="I308" s="456"/>
      <c r="J308" s="456"/>
      <c r="K308" s="456"/>
      <c r="L308" s="456"/>
      <c r="M308" s="456"/>
      <c r="N308" s="456"/>
      <c r="O308" s="456"/>
      <c r="P308" s="456"/>
      <c r="Q308" s="520"/>
      <c r="R308" s="520"/>
      <c r="S308" s="520"/>
      <c r="T308" s="520"/>
      <c r="U308" s="520"/>
      <c r="V308" s="520"/>
      <c r="W308" s="520"/>
      <c r="X308" s="520"/>
      <c r="Y308" s="520"/>
      <c r="Z308" s="520"/>
      <c r="AA308" s="520"/>
      <c r="AB308" s="520"/>
      <c r="AC308" s="520"/>
      <c r="AD308" s="520"/>
      <c r="AE308" s="520"/>
      <c r="AF308" s="520"/>
    </row>
    <row r="309" customFormat="false" ht="11.45" hidden="false" customHeight="true" outlineLevel="0" collapsed="false">
      <c r="A309" s="448"/>
      <c r="B309" s="448"/>
      <c r="C309" s="456"/>
      <c r="D309" s="456"/>
      <c r="E309" s="456"/>
      <c r="F309" s="456"/>
      <c r="G309" s="515"/>
      <c r="H309" s="515"/>
      <c r="I309" s="515"/>
      <c r="J309" s="515"/>
      <c r="K309" s="515"/>
      <c r="L309" s="515"/>
      <c r="M309" s="515"/>
      <c r="N309" s="515"/>
      <c r="O309" s="515"/>
      <c r="P309" s="515"/>
      <c r="Q309" s="516"/>
      <c r="R309" s="516"/>
      <c r="S309" s="516"/>
      <c r="T309" s="516"/>
      <c r="U309" s="516"/>
      <c r="V309" s="516"/>
      <c r="W309" s="516"/>
      <c r="X309" s="516"/>
      <c r="Y309" s="516"/>
      <c r="Z309" s="516"/>
      <c r="AA309" s="516"/>
      <c r="AB309" s="516"/>
      <c r="AC309" s="516"/>
      <c r="AD309" s="516"/>
      <c r="AE309" s="516"/>
      <c r="AF309" s="516"/>
    </row>
    <row r="310" customFormat="false" ht="11.45" hidden="false" customHeight="true" outlineLevel="0" collapsed="false">
      <c r="A310" s="448"/>
      <c r="B310" s="448"/>
      <c r="C310" s="448"/>
      <c r="D310" s="448"/>
      <c r="E310" s="448"/>
      <c r="F310" s="515"/>
      <c r="G310" s="521"/>
      <c r="H310" s="521"/>
      <c r="I310" s="521"/>
      <c r="J310" s="521"/>
      <c r="K310" s="521"/>
      <c r="L310" s="521"/>
      <c r="M310" s="521"/>
      <c r="N310" s="521"/>
      <c r="O310" s="521"/>
      <c r="P310" s="521"/>
      <c r="Q310" s="522"/>
      <c r="R310" s="522"/>
      <c r="S310" s="522"/>
      <c r="T310" s="522"/>
      <c r="U310" s="522"/>
      <c r="V310" s="522"/>
      <c r="W310" s="522"/>
      <c r="X310" s="522"/>
      <c r="Y310" s="522"/>
      <c r="Z310" s="522"/>
      <c r="AA310" s="522"/>
      <c r="AB310" s="522"/>
      <c r="AC310" s="522"/>
      <c r="AD310" s="522"/>
      <c r="AE310" s="522"/>
      <c r="AF310" s="522"/>
    </row>
    <row r="311" customFormat="false" ht="11.45" hidden="false" customHeight="true" outlineLevel="0" collapsed="false">
      <c r="A311" s="448"/>
      <c r="B311" s="448"/>
      <c r="C311" s="456"/>
      <c r="D311" s="456"/>
      <c r="E311" s="456"/>
      <c r="F311" s="456"/>
      <c r="G311" s="521"/>
      <c r="H311" s="521"/>
      <c r="I311" s="521"/>
      <c r="J311" s="521"/>
      <c r="K311" s="521"/>
      <c r="L311" s="521"/>
      <c r="M311" s="521"/>
      <c r="N311" s="521"/>
      <c r="O311" s="521"/>
      <c r="P311" s="521"/>
      <c r="Q311" s="522"/>
      <c r="R311" s="522"/>
      <c r="S311" s="522"/>
      <c r="T311" s="522"/>
      <c r="U311" s="522"/>
      <c r="V311" s="522"/>
      <c r="W311" s="522"/>
      <c r="X311" s="522"/>
      <c r="Y311" s="522"/>
      <c r="Z311" s="522"/>
      <c r="AA311" s="522"/>
      <c r="AB311" s="522"/>
      <c r="AC311" s="522"/>
      <c r="AD311" s="522"/>
      <c r="AE311" s="522"/>
      <c r="AF311" s="522"/>
    </row>
    <row r="312" customFormat="false" ht="11.45" hidden="false" customHeight="true" outlineLevel="0" collapsed="false">
      <c r="A312" s="448"/>
      <c r="B312" s="448"/>
      <c r="C312" s="448"/>
      <c r="D312" s="448"/>
      <c r="E312" s="448"/>
      <c r="F312" s="456"/>
      <c r="G312" s="521"/>
      <c r="H312" s="521"/>
      <c r="I312" s="521"/>
      <c r="J312" s="521"/>
      <c r="K312" s="521"/>
      <c r="L312" s="521"/>
      <c r="M312" s="521"/>
      <c r="N312" s="521"/>
      <c r="O312" s="521"/>
      <c r="P312" s="521"/>
      <c r="Q312" s="522"/>
      <c r="R312" s="522"/>
      <c r="S312" s="522"/>
      <c r="T312" s="522"/>
      <c r="U312" s="522"/>
      <c r="V312" s="522"/>
      <c r="W312" s="522"/>
      <c r="X312" s="522"/>
      <c r="Y312" s="522"/>
      <c r="Z312" s="522"/>
      <c r="AA312" s="522"/>
      <c r="AB312" s="522"/>
      <c r="AC312" s="522"/>
      <c r="AD312" s="522"/>
      <c r="AE312" s="522"/>
      <c r="AF312" s="522"/>
    </row>
    <row r="313" customFormat="false" ht="11.25" hidden="false" customHeight="false" outlineLevel="0" collapsed="false">
      <c r="A313" s="448"/>
      <c r="B313" s="448"/>
      <c r="C313" s="448"/>
      <c r="D313" s="448"/>
      <c r="E313" s="448"/>
      <c r="F313" s="456"/>
    </row>
  </sheetData>
  <printOptions headings="false" gridLines="false" gridLinesSet="true" horizontalCentered="false" verticalCentered="false"/>
  <pageMargins left="0.25" right="0.25" top="0.25" bottom="0.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 &amp;T&amp;R&amp;F
&amp;A 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43" activeCellId="0" sqref="D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524" width="8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6" t="str">
        <f aca="false">Assumptions!A3</f>
        <v>PROJECT NAME: LINCOLN</v>
      </c>
    </row>
    <row r="4" customFormat="false" ht="18.75" hidden="false" customHeight="false" outlineLevel="0" collapsed="false">
      <c r="A4" s="259" t="s">
        <v>368</v>
      </c>
    </row>
    <row r="5" customFormat="false" ht="12.75" hidden="false" customHeight="false" outlineLevel="0" collapsed="false">
      <c r="Z5" s="525"/>
    </row>
    <row r="6" customFormat="false" ht="12.75" hidden="false" customHeight="false" outlineLevel="0" collapsed="false">
      <c r="D6" s="291" t="n">
        <f aca="false">'Power Price Assumption'!D9</f>
        <v>0.666666666666667</v>
      </c>
      <c r="E6" s="291" t="n">
        <f aca="false">'Power Price Assumption'!E9</f>
        <v>1.66666666666667</v>
      </c>
      <c r="F6" s="291" t="n">
        <f aca="false">'Power Price Assumption'!F9</f>
        <v>2.66666666666667</v>
      </c>
      <c r="G6" s="291" t="n">
        <f aca="false">'Power Price Assumption'!G9</f>
        <v>3.66666666666667</v>
      </c>
      <c r="H6" s="291" t="n">
        <f aca="false">'Power Price Assumption'!H9</f>
        <v>4.66666666666667</v>
      </c>
      <c r="I6" s="291" t="n">
        <f aca="false">'Power Price Assumption'!I9</f>
        <v>5.66666666666667</v>
      </c>
      <c r="J6" s="291" t="n">
        <f aca="false">'Power Price Assumption'!J9</f>
        <v>6.66666666666667</v>
      </c>
      <c r="K6" s="291" t="n">
        <f aca="false">'Power Price Assumption'!K9</f>
        <v>7.66666666666667</v>
      </c>
      <c r="L6" s="291" t="n">
        <f aca="false">'Power Price Assumption'!L9</f>
        <v>8.66666666666667</v>
      </c>
      <c r="M6" s="291" t="n">
        <f aca="false">'Power Price Assumption'!M9</f>
        <v>9.66666666666667</v>
      </c>
      <c r="N6" s="291" t="n">
        <f aca="false">'Power Price Assumption'!N9</f>
        <v>10.6666666666667</v>
      </c>
      <c r="O6" s="291" t="n">
        <f aca="false">'Power Price Assumption'!O9</f>
        <v>11.6666666666667</v>
      </c>
      <c r="P6" s="291" t="n">
        <f aca="false">'Power Price Assumption'!P9</f>
        <v>12.6666666666667</v>
      </c>
      <c r="Q6" s="291" t="n">
        <f aca="false">'Power Price Assumption'!Q9</f>
        <v>13.6666666666667</v>
      </c>
      <c r="R6" s="291" t="n">
        <f aca="false">'Power Price Assumption'!R9</f>
        <v>14.6666666666667</v>
      </c>
      <c r="S6" s="291" t="n">
        <f aca="false">'Power Price Assumption'!S9</f>
        <v>15.6666666666667</v>
      </c>
      <c r="T6" s="291" t="n">
        <f aca="false">'Power Price Assumption'!T9</f>
        <v>16.6666666666667</v>
      </c>
      <c r="U6" s="291" t="n">
        <f aca="false">'Power Price Assumption'!U9</f>
        <v>17.6666666666667</v>
      </c>
      <c r="V6" s="291" t="n">
        <f aca="false">'Power Price Assumption'!V9</f>
        <v>18.6666666666667</v>
      </c>
      <c r="W6" s="291" t="n">
        <f aca="false">'Power Price Assumption'!W9</f>
        <v>19.6666666666667</v>
      </c>
      <c r="X6" s="291" t="n">
        <f aca="false">'Power Price Assumption'!X9</f>
        <v>20.6666666666667</v>
      </c>
      <c r="Y6" s="291" t="n">
        <f aca="false">'Power Price Assumption'!Y9</f>
        <v>21.6666666666667</v>
      </c>
      <c r="Z6" s="291" t="n">
        <f aca="false">'Power Price Assumption'!Z9</f>
        <v>22.6666666666667</v>
      </c>
      <c r="AA6" s="291" t="n">
        <f aca="false">'Power Price Assumption'!AA9</f>
        <v>23.6666666666667</v>
      </c>
      <c r="AB6" s="291" t="n">
        <f aca="false">'Power Price Assumption'!AB9</f>
        <v>24.6666666666667</v>
      </c>
      <c r="AC6" s="291" t="n">
        <f aca="false">'Power Price Assumption'!AC9</f>
        <v>25.6666666666667</v>
      </c>
      <c r="AD6" s="291" t="n">
        <f aca="false">'Power Price Assumption'!AD9</f>
        <v>26.6666666666667</v>
      </c>
      <c r="AE6" s="291" t="n">
        <f aca="false">'Power Price Assumption'!AE9</f>
        <v>27.6666666666667</v>
      </c>
      <c r="AF6" s="291" t="n">
        <f aca="false">'Power Price Assumption'!AF9</f>
        <v>28.6666666666667</v>
      </c>
      <c r="AG6" s="291" t="n">
        <f aca="false">'Power Price Assumption'!AG9</f>
        <v>29.6666666666667</v>
      </c>
      <c r="AH6" s="291" t="n">
        <f aca="false">'Power Price Assumption'!AH9</f>
        <v>30.6666666666667</v>
      </c>
    </row>
    <row r="7" customFormat="false" ht="13.5" hidden="false" customHeight="false" outlineLevel="0" collapsed="false">
      <c r="A7" s="261" t="s">
        <v>206</v>
      </c>
      <c r="B7" s="526"/>
      <c r="C7" s="526"/>
      <c r="D7" s="262" t="n">
        <f aca="false">'Power Price Assumption'!D10</f>
        <v>2002</v>
      </c>
      <c r="E7" s="262" t="n">
        <f aca="false">'Power Price Assumption'!E10</f>
        <v>2003</v>
      </c>
      <c r="F7" s="262" t="n">
        <f aca="false">'Power Price Assumption'!F10</f>
        <v>2004</v>
      </c>
      <c r="G7" s="262" t="n">
        <f aca="false">'Power Price Assumption'!G10</f>
        <v>2005</v>
      </c>
      <c r="H7" s="262" t="n">
        <f aca="false">'Power Price Assumption'!H10</f>
        <v>2006</v>
      </c>
      <c r="I7" s="262" t="n">
        <f aca="false">'Power Price Assumption'!I10</f>
        <v>2007</v>
      </c>
      <c r="J7" s="262" t="n">
        <f aca="false">'Power Price Assumption'!J10</f>
        <v>2008</v>
      </c>
      <c r="K7" s="262" t="n">
        <f aca="false">'Power Price Assumption'!K10</f>
        <v>2009</v>
      </c>
      <c r="L7" s="262" t="n">
        <f aca="false">'Power Price Assumption'!L10</f>
        <v>2010</v>
      </c>
      <c r="M7" s="262" t="n">
        <f aca="false">'Power Price Assumption'!M10</f>
        <v>2011</v>
      </c>
      <c r="N7" s="262" t="n">
        <f aca="false">'Power Price Assumption'!N10</f>
        <v>2012</v>
      </c>
      <c r="O7" s="262" t="n">
        <f aca="false">'Power Price Assumption'!O10</f>
        <v>2013</v>
      </c>
      <c r="P7" s="262" t="n">
        <f aca="false">'Power Price Assumption'!P10</f>
        <v>2014</v>
      </c>
      <c r="Q7" s="262" t="n">
        <f aca="false">'Power Price Assumption'!Q10</f>
        <v>2015</v>
      </c>
      <c r="R7" s="262" t="n">
        <f aca="false">'Power Price Assumption'!R10</f>
        <v>2016</v>
      </c>
      <c r="S7" s="262" t="n">
        <f aca="false">'Power Price Assumption'!S10</f>
        <v>2017</v>
      </c>
      <c r="T7" s="262" t="n">
        <f aca="false">'Power Price Assumption'!T10</f>
        <v>2018</v>
      </c>
      <c r="U7" s="262" t="n">
        <f aca="false">'Power Price Assumption'!U10</f>
        <v>2019</v>
      </c>
      <c r="V7" s="262" t="n">
        <f aca="false">'Power Price Assumption'!V10</f>
        <v>2020</v>
      </c>
      <c r="W7" s="262" t="n">
        <f aca="false">'Power Price Assumption'!W10</f>
        <v>2021</v>
      </c>
      <c r="X7" s="262" t="n">
        <f aca="false">'Power Price Assumption'!X10</f>
        <v>2022</v>
      </c>
      <c r="Y7" s="262" t="n">
        <f aca="false">'Power Price Assumption'!Y10</f>
        <v>2023</v>
      </c>
      <c r="Z7" s="262" t="n">
        <f aca="false">'Power Price Assumption'!Z10</f>
        <v>2024</v>
      </c>
      <c r="AA7" s="262" t="n">
        <f aca="false">'Power Price Assumption'!AA10</f>
        <v>2025</v>
      </c>
      <c r="AB7" s="262" t="n">
        <f aca="false">'Power Price Assumption'!AB10</f>
        <v>2026</v>
      </c>
      <c r="AC7" s="262" t="n">
        <f aca="false">'Power Price Assumption'!AC10</f>
        <v>2027</v>
      </c>
      <c r="AD7" s="262" t="n">
        <f aca="false">'Power Price Assumption'!AD10</f>
        <v>2028</v>
      </c>
      <c r="AE7" s="262" t="n">
        <f aca="false">'Power Price Assumption'!AE10</f>
        <v>2029</v>
      </c>
      <c r="AF7" s="262" t="n">
        <f aca="false">'Power Price Assumption'!AF10</f>
        <v>2030</v>
      </c>
      <c r="AG7" s="262" t="n">
        <f aca="false">'Power Price Assumption'!AG10</f>
        <v>2031</v>
      </c>
      <c r="AH7" s="262" t="n">
        <f aca="false">'Power Price Assumption'!AH10</f>
        <v>2032</v>
      </c>
      <c r="AI7" s="527"/>
      <c r="AJ7" s="527"/>
      <c r="AK7" s="527"/>
      <c r="AL7" s="527"/>
      <c r="AM7" s="527"/>
      <c r="AN7" s="527"/>
      <c r="AO7" s="527"/>
      <c r="AP7" s="527"/>
      <c r="AQ7" s="527"/>
      <c r="AR7" s="527"/>
      <c r="AS7" s="527"/>
      <c r="AT7" s="527"/>
      <c r="AU7" s="527"/>
      <c r="AV7" s="527"/>
      <c r="AW7" s="527"/>
      <c r="AX7" s="527"/>
      <c r="AY7" s="527"/>
      <c r="AZ7" s="527"/>
      <c r="BA7" s="527"/>
      <c r="BB7" s="527"/>
      <c r="BC7" s="527"/>
      <c r="BD7" s="527"/>
      <c r="BE7" s="527"/>
      <c r="BF7" s="527"/>
      <c r="BG7" s="527"/>
      <c r="BH7" s="527"/>
      <c r="BI7" s="527"/>
      <c r="BJ7" s="527"/>
      <c r="BK7" s="527"/>
      <c r="BL7" s="527"/>
      <c r="BM7" s="527"/>
      <c r="BN7" s="527"/>
      <c r="BO7" s="527"/>
      <c r="BP7" s="527"/>
      <c r="BQ7" s="527"/>
      <c r="BR7" s="527"/>
      <c r="BS7" s="527"/>
      <c r="BT7" s="527"/>
      <c r="BU7" s="527"/>
      <c r="BV7" s="527"/>
      <c r="BW7" s="527"/>
      <c r="BX7" s="527"/>
      <c r="BY7" s="527"/>
      <c r="BZ7" s="527"/>
      <c r="CA7" s="527"/>
      <c r="CB7" s="527"/>
      <c r="CC7" s="527"/>
      <c r="CD7" s="527"/>
      <c r="CE7" s="527"/>
      <c r="CF7" s="527"/>
      <c r="CG7" s="527"/>
      <c r="CH7" s="527"/>
      <c r="CI7" s="527"/>
      <c r="CJ7" s="527"/>
      <c r="CK7" s="527"/>
      <c r="CL7" s="527"/>
      <c r="CM7" s="527"/>
      <c r="CN7" s="527"/>
      <c r="CO7" s="527"/>
      <c r="CP7" s="527"/>
      <c r="CQ7" s="527"/>
      <c r="CR7" s="527"/>
      <c r="CS7" s="527"/>
      <c r="CT7" s="527"/>
      <c r="CU7" s="527"/>
      <c r="CV7" s="527"/>
      <c r="CW7" s="527"/>
      <c r="CX7" s="527"/>
      <c r="CY7" s="527"/>
      <c r="CZ7" s="527"/>
      <c r="DA7" s="527"/>
      <c r="DB7" s="527"/>
      <c r="DC7" s="527"/>
      <c r="DD7" s="527"/>
      <c r="DE7" s="527"/>
      <c r="DF7" s="527"/>
      <c r="DG7" s="527"/>
      <c r="DH7" s="527"/>
      <c r="DI7" s="527"/>
      <c r="DJ7" s="527"/>
      <c r="DK7" s="527"/>
      <c r="DL7" s="527"/>
      <c r="DM7" s="527"/>
      <c r="DN7" s="527"/>
      <c r="DO7" s="527"/>
      <c r="DP7" s="527"/>
      <c r="DQ7" s="527"/>
      <c r="DR7" s="527"/>
      <c r="DS7" s="527"/>
      <c r="DT7" s="527"/>
      <c r="DU7" s="527"/>
      <c r="DV7" s="527"/>
      <c r="DW7" s="527"/>
      <c r="DX7" s="527"/>
      <c r="DY7" s="527"/>
      <c r="DZ7" s="527"/>
      <c r="EA7" s="527"/>
      <c r="EB7" s="527"/>
      <c r="EC7" s="527"/>
      <c r="ED7" s="527"/>
      <c r="EE7" s="527"/>
      <c r="EF7" s="527"/>
      <c r="EG7" s="527"/>
      <c r="EH7" s="527"/>
      <c r="EI7" s="527"/>
      <c r="EJ7" s="527"/>
      <c r="EK7" s="527"/>
      <c r="EL7" s="527"/>
      <c r="EM7" s="527"/>
      <c r="EN7" s="527"/>
      <c r="EO7" s="527"/>
      <c r="EP7" s="527"/>
      <c r="EQ7" s="527"/>
      <c r="ER7" s="527"/>
      <c r="ES7" s="527"/>
      <c r="ET7" s="527"/>
      <c r="EU7" s="527"/>
      <c r="EV7" s="527"/>
      <c r="EW7" s="527"/>
      <c r="EX7" s="527"/>
      <c r="EY7" s="527"/>
      <c r="EZ7" s="527"/>
      <c r="FA7" s="527"/>
      <c r="FB7" s="527"/>
      <c r="FC7" s="527"/>
      <c r="FD7" s="527"/>
      <c r="FE7" s="527"/>
      <c r="FF7" s="527"/>
      <c r="FG7" s="527"/>
      <c r="FH7" s="527"/>
      <c r="FI7" s="527"/>
      <c r="FJ7" s="527"/>
      <c r="FK7" s="527"/>
      <c r="FL7" s="527"/>
      <c r="FM7" s="527"/>
      <c r="FN7" s="527"/>
      <c r="FO7" s="527"/>
      <c r="FP7" s="527"/>
      <c r="FQ7" s="527"/>
      <c r="FR7" s="527"/>
      <c r="FS7" s="527"/>
      <c r="FT7" s="527"/>
      <c r="FU7" s="527"/>
      <c r="FV7" s="527"/>
      <c r="FW7" s="527"/>
      <c r="FX7" s="527"/>
      <c r="FY7" s="527"/>
      <c r="FZ7" s="527"/>
      <c r="GA7" s="527"/>
      <c r="GB7" s="527"/>
      <c r="GC7" s="527"/>
      <c r="GD7" s="527"/>
      <c r="GE7" s="527"/>
      <c r="GF7" s="527"/>
      <c r="GG7" s="527"/>
      <c r="GH7" s="527"/>
      <c r="GI7" s="527"/>
      <c r="GJ7" s="527"/>
      <c r="GK7" s="527"/>
      <c r="GL7" s="527"/>
      <c r="GM7" s="527"/>
      <c r="GN7" s="527"/>
      <c r="GO7" s="527"/>
      <c r="GP7" s="527"/>
      <c r="GQ7" s="527"/>
      <c r="GR7" s="527"/>
      <c r="GS7" s="527"/>
      <c r="GT7" s="527"/>
      <c r="GU7" s="527"/>
      <c r="GV7" s="527"/>
      <c r="GW7" s="527"/>
      <c r="GX7" s="527"/>
      <c r="GY7" s="527"/>
      <c r="GZ7" s="527"/>
      <c r="HA7" s="527"/>
      <c r="HB7" s="527"/>
      <c r="HC7" s="527"/>
      <c r="HD7" s="527"/>
      <c r="HE7" s="527"/>
      <c r="HF7" s="527"/>
      <c r="HG7" s="527"/>
      <c r="HH7" s="527"/>
      <c r="HI7" s="527"/>
      <c r="HJ7" s="527"/>
      <c r="HK7" s="527"/>
      <c r="HL7" s="527"/>
      <c r="HM7" s="527"/>
      <c r="HN7" s="527"/>
      <c r="HO7" s="527"/>
      <c r="HP7" s="527"/>
      <c r="HQ7" s="527"/>
      <c r="HR7" s="527"/>
      <c r="HS7" s="527"/>
      <c r="HT7" s="527"/>
      <c r="HU7" s="527"/>
      <c r="HV7" s="527"/>
      <c r="HW7" s="527"/>
      <c r="HX7" s="527"/>
      <c r="HY7" s="527"/>
      <c r="HZ7" s="527"/>
      <c r="IA7" s="527"/>
      <c r="IB7" s="527"/>
      <c r="IC7" s="527"/>
      <c r="ID7" s="527"/>
      <c r="IE7" s="527"/>
      <c r="IF7" s="527"/>
      <c r="IG7" s="527"/>
      <c r="IH7" s="527"/>
      <c r="II7" s="527"/>
      <c r="IJ7" s="527"/>
      <c r="IK7" s="527"/>
      <c r="IL7" s="527"/>
      <c r="IM7" s="527"/>
      <c r="IN7" s="527"/>
      <c r="IO7" s="527"/>
      <c r="IP7" s="527"/>
      <c r="IQ7" s="527"/>
      <c r="IR7" s="527"/>
      <c r="IS7" s="527"/>
      <c r="IT7" s="527"/>
      <c r="IU7" s="527"/>
      <c r="IV7" s="527"/>
      <c r="IW7" s="527"/>
    </row>
    <row r="8" customFormat="false" ht="12.75" hidden="false" customHeight="false" outlineLevel="0" collapsed="false">
      <c r="A8" s="292"/>
      <c r="B8" s="528"/>
      <c r="C8" s="528"/>
      <c r="D8" s="529" t="n">
        <f aca="false">IS!C8</f>
        <v>37620.5</v>
      </c>
      <c r="E8" s="529" t="n">
        <f aca="false">IS!D8</f>
        <v>37985.75</v>
      </c>
      <c r="F8" s="529" t="n">
        <f aca="false">IS!E8</f>
        <v>38351</v>
      </c>
      <c r="G8" s="529" t="n">
        <f aca="false">IS!F8</f>
        <v>38716.25</v>
      </c>
      <c r="H8" s="529" t="n">
        <f aca="false">IS!G8</f>
        <v>39081.5</v>
      </c>
      <c r="I8" s="529" t="n">
        <f aca="false">IS!H8</f>
        <v>39446.75</v>
      </c>
      <c r="J8" s="529" t="n">
        <f aca="false">IS!I8</f>
        <v>39812</v>
      </c>
      <c r="K8" s="529" t="n">
        <f aca="false">IS!J8</f>
        <v>40177.25</v>
      </c>
      <c r="L8" s="529" t="n">
        <f aca="false">IS!K8</f>
        <v>40542.5</v>
      </c>
      <c r="M8" s="529" t="n">
        <f aca="false">IS!L8</f>
        <v>40907.75</v>
      </c>
      <c r="N8" s="529" t="n">
        <f aca="false">IS!M8</f>
        <v>41273</v>
      </c>
      <c r="O8" s="529" t="n">
        <f aca="false">IS!N8</f>
        <v>41638.25</v>
      </c>
      <c r="P8" s="529" t="n">
        <f aca="false">IS!O8</f>
        <v>42003.5</v>
      </c>
      <c r="Q8" s="529" t="n">
        <f aca="false">IS!P8</f>
        <v>42368.75</v>
      </c>
      <c r="R8" s="529" t="n">
        <f aca="false">IS!Q8</f>
        <v>42734</v>
      </c>
      <c r="S8" s="529" t="n">
        <f aca="false">IS!R8</f>
        <v>43099.25</v>
      </c>
      <c r="T8" s="529" t="n">
        <f aca="false">IS!S8</f>
        <v>43464.5</v>
      </c>
      <c r="U8" s="529" t="n">
        <f aca="false">IS!T8</f>
        <v>43829.75</v>
      </c>
      <c r="V8" s="529" t="n">
        <f aca="false">IS!U8</f>
        <v>44195</v>
      </c>
      <c r="W8" s="529" t="n">
        <f aca="false">IS!V8</f>
        <v>44560.25</v>
      </c>
      <c r="X8" s="529" t="n">
        <f aca="false">IS!W8</f>
        <v>44925.5</v>
      </c>
      <c r="Y8" s="529" t="n">
        <f aca="false">IS!X8</f>
        <v>45290.75</v>
      </c>
      <c r="Z8" s="529" t="n">
        <f aca="false">IS!Y8</f>
        <v>45656</v>
      </c>
      <c r="AA8" s="529" t="n">
        <f aca="false">IS!Z8</f>
        <v>46021.25</v>
      </c>
      <c r="AB8" s="529" t="n">
        <f aca="false">IS!AA8</f>
        <v>46386.5</v>
      </c>
      <c r="AC8" s="529" t="n">
        <f aca="false">IS!AB8</f>
        <v>46751.75</v>
      </c>
      <c r="AD8" s="529" t="n">
        <f aca="false">IS!AC8</f>
        <v>47117</v>
      </c>
      <c r="AE8" s="529" t="n">
        <f aca="false">IS!AD8</f>
        <v>47482.25</v>
      </c>
      <c r="AF8" s="529" t="n">
        <f aca="false">IS!AE8</f>
        <v>47847.5</v>
      </c>
      <c r="AG8" s="529" t="n">
        <f aca="false">IS!AF8</f>
        <v>48212.75</v>
      </c>
      <c r="AH8" s="529" t="n">
        <f aca="false">IS!AG8</f>
        <v>48578</v>
      </c>
      <c r="AI8" s="527"/>
      <c r="AJ8" s="527"/>
      <c r="AK8" s="527"/>
      <c r="AL8" s="527"/>
      <c r="AM8" s="527"/>
      <c r="AN8" s="527"/>
      <c r="AO8" s="527"/>
      <c r="AP8" s="527"/>
      <c r="AQ8" s="527"/>
      <c r="AR8" s="527"/>
      <c r="AS8" s="527"/>
      <c r="AT8" s="527"/>
      <c r="AU8" s="527"/>
      <c r="AV8" s="527"/>
      <c r="AW8" s="527"/>
      <c r="AX8" s="527"/>
      <c r="AY8" s="527"/>
      <c r="AZ8" s="527"/>
      <c r="BA8" s="527"/>
      <c r="BB8" s="527"/>
      <c r="BC8" s="527"/>
      <c r="BD8" s="527"/>
      <c r="BE8" s="527"/>
      <c r="BF8" s="527"/>
      <c r="BG8" s="527"/>
      <c r="BH8" s="527"/>
      <c r="BI8" s="527"/>
      <c r="BJ8" s="527"/>
      <c r="BK8" s="527"/>
      <c r="BL8" s="527"/>
      <c r="BM8" s="527"/>
      <c r="BN8" s="527"/>
      <c r="BO8" s="527"/>
      <c r="BP8" s="527"/>
      <c r="BQ8" s="527"/>
      <c r="BR8" s="527"/>
      <c r="BS8" s="527"/>
      <c r="BT8" s="527"/>
      <c r="BU8" s="527"/>
      <c r="BV8" s="527"/>
      <c r="BW8" s="527"/>
      <c r="BX8" s="527"/>
      <c r="BY8" s="527"/>
      <c r="BZ8" s="527"/>
      <c r="CA8" s="527"/>
      <c r="CB8" s="527"/>
      <c r="CC8" s="527"/>
      <c r="CD8" s="527"/>
      <c r="CE8" s="527"/>
      <c r="CF8" s="527"/>
      <c r="CG8" s="527"/>
      <c r="CH8" s="527"/>
      <c r="CI8" s="527"/>
      <c r="CJ8" s="527"/>
      <c r="CK8" s="527"/>
      <c r="CL8" s="527"/>
      <c r="CM8" s="527"/>
      <c r="CN8" s="527"/>
      <c r="CO8" s="527"/>
      <c r="CP8" s="527"/>
      <c r="CQ8" s="527"/>
      <c r="CR8" s="527"/>
      <c r="CS8" s="527"/>
      <c r="CT8" s="527"/>
      <c r="CU8" s="527"/>
      <c r="CV8" s="527"/>
      <c r="CW8" s="527"/>
      <c r="CX8" s="527"/>
      <c r="CY8" s="527"/>
      <c r="CZ8" s="527"/>
      <c r="DA8" s="527"/>
      <c r="DB8" s="527"/>
      <c r="DC8" s="527"/>
      <c r="DD8" s="527"/>
      <c r="DE8" s="527"/>
      <c r="DF8" s="527"/>
      <c r="DG8" s="527"/>
      <c r="DH8" s="527"/>
      <c r="DI8" s="527"/>
      <c r="DJ8" s="527"/>
      <c r="DK8" s="527"/>
      <c r="DL8" s="527"/>
      <c r="DM8" s="527"/>
      <c r="DN8" s="527"/>
      <c r="DO8" s="527"/>
      <c r="DP8" s="527"/>
      <c r="DQ8" s="527"/>
      <c r="DR8" s="527"/>
      <c r="DS8" s="527"/>
      <c r="DT8" s="527"/>
      <c r="DU8" s="527"/>
      <c r="DV8" s="527"/>
      <c r="DW8" s="527"/>
      <c r="DX8" s="527"/>
      <c r="DY8" s="527"/>
      <c r="DZ8" s="527"/>
      <c r="EA8" s="527"/>
      <c r="EB8" s="527"/>
      <c r="EC8" s="527"/>
      <c r="ED8" s="527"/>
      <c r="EE8" s="527"/>
      <c r="EF8" s="527"/>
      <c r="EG8" s="527"/>
      <c r="EH8" s="527"/>
      <c r="EI8" s="527"/>
      <c r="EJ8" s="527"/>
      <c r="EK8" s="527"/>
      <c r="EL8" s="527"/>
      <c r="EM8" s="527"/>
      <c r="EN8" s="527"/>
      <c r="EO8" s="527"/>
      <c r="EP8" s="527"/>
      <c r="EQ8" s="527"/>
      <c r="ER8" s="527"/>
      <c r="ES8" s="527"/>
      <c r="ET8" s="527"/>
      <c r="EU8" s="527"/>
      <c r="EV8" s="527"/>
      <c r="EW8" s="527"/>
      <c r="EX8" s="527"/>
      <c r="EY8" s="527"/>
      <c r="EZ8" s="527"/>
      <c r="FA8" s="527"/>
      <c r="FB8" s="527"/>
      <c r="FC8" s="527"/>
      <c r="FD8" s="527"/>
      <c r="FE8" s="527"/>
      <c r="FF8" s="527"/>
      <c r="FG8" s="527"/>
      <c r="FH8" s="527"/>
      <c r="FI8" s="527"/>
      <c r="FJ8" s="527"/>
      <c r="FK8" s="527"/>
      <c r="FL8" s="527"/>
      <c r="FM8" s="527"/>
      <c r="FN8" s="527"/>
      <c r="FO8" s="527"/>
      <c r="FP8" s="527"/>
      <c r="FQ8" s="527"/>
      <c r="FR8" s="527"/>
      <c r="FS8" s="527"/>
      <c r="FT8" s="527"/>
      <c r="FU8" s="527"/>
      <c r="FV8" s="527"/>
      <c r="FW8" s="527"/>
      <c r="FX8" s="527"/>
      <c r="FY8" s="527"/>
      <c r="FZ8" s="527"/>
      <c r="GA8" s="527"/>
      <c r="GB8" s="527"/>
      <c r="GC8" s="527"/>
      <c r="GD8" s="527"/>
      <c r="GE8" s="527"/>
      <c r="GF8" s="527"/>
      <c r="GG8" s="527"/>
      <c r="GH8" s="527"/>
      <c r="GI8" s="527"/>
      <c r="GJ8" s="527"/>
      <c r="GK8" s="527"/>
      <c r="GL8" s="527"/>
      <c r="GM8" s="527"/>
      <c r="GN8" s="527"/>
      <c r="GO8" s="527"/>
      <c r="GP8" s="527"/>
      <c r="GQ8" s="527"/>
      <c r="GR8" s="527"/>
      <c r="GS8" s="527"/>
      <c r="GT8" s="527"/>
      <c r="GU8" s="527"/>
      <c r="GV8" s="527"/>
      <c r="GW8" s="527"/>
      <c r="GX8" s="527"/>
      <c r="GY8" s="527"/>
      <c r="GZ8" s="527"/>
      <c r="HA8" s="527"/>
      <c r="HB8" s="527"/>
      <c r="HC8" s="527"/>
      <c r="HD8" s="527"/>
      <c r="HE8" s="527"/>
      <c r="HF8" s="527"/>
      <c r="HG8" s="527"/>
      <c r="HH8" s="527"/>
      <c r="HI8" s="527"/>
      <c r="HJ8" s="527"/>
      <c r="HK8" s="527"/>
      <c r="HL8" s="527"/>
      <c r="HM8" s="527"/>
      <c r="HN8" s="527"/>
      <c r="HO8" s="527"/>
      <c r="HP8" s="527"/>
      <c r="HQ8" s="527"/>
      <c r="HR8" s="527"/>
      <c r="HS8" s="527"/>
      <c r="HT8" s="527"/>
      <c r="HU8" s="527"/>
      <c r="HV8" s="527"/>
      <c r="HW8" s="527"/>
      <c r="HX8" s="527"/>
      <c r="HY8" s="527"/>
      <c r="HZ8" s="527"/>
      <c r="IA8" s="527"/>
      <c r="IB8" s="527"/>
      <c r="IC8" s="527"/>
      <c r="ID8" s="527"/>
      <c r="IE8" s="527"/>
      <c r="IF8" s="527"/>
      <c r="IG8" s="527"/>
      <c r="IH8" s="527"/>
      <c r="II8" s="527"/>
      <c r="IJ8" s="527"/>
      <c r="IK8" s="527"/>
      <c r="IL8" s="527"/>
      <c r="IM8" s="527"/>
      <c r="IN8" s="527"/>
      <c r="IO8" s="527"/>
      <c r="IP8" s="527"/>
      <c r="IQ8" s="527"/>
      <c r="IR8" s="527"/>
      <c r="IS8" s="527"/>
      <c r="IT8" s="527"/>
      <c r="IU8" s="527"/>
      <c r="IV8" s="527"/>
      <c r="IW8" s="527"/>
    </row>
    <row r="9" customFormat="false" ht="12.75" hidden="false" customHeight="false" outlineLevel="0" collapsed="false">
      <c r="A9" s="530" t="s">
        <v>369</v>
      </c>
      <c r="B9" s="530"/>
      <c r="D9" s="531" t="n">
        <f aca="false">Assumptions!I19</f>
        <v>8</v>
      </c>
      <c r="E9" s="532" t="n">
        <v>12</v>
      </c>
      <c r="F9" s="532" t="n">
        <v>12</v>
      </c>
      <c r="G9" s="532" t="n">
        <v>12</v>
      </c>
      <c r="H9" s="532" t="n">
        <v>12</v>
      </c>
      <c r="I9" s="532" t="n">
        <v>12</v>
      </c>
      <c r="J9" s="532" t="n">
        <v>12</v>
      </c>
      <c r="K9" s="532" t="n">
        <v>12</v>
      </c>
      <c r="L9" s="532" t="n">
        <v>12</v>
      </c>
      <c r="M9" s="532" t="n">
        <v>12</v>
      </c>
      <c r="N9" s="532" t="n">
        <v>12</v>
      </c>
      <c r="O9" s="532" t="n">
        <v>12</v>
      </c>
      <c r="P9" s="532" t="n">
        <v>12</v>
      </c>
      <c r="Q9" s="532" t="n">
        <v>12</v>
      </c>
      <c r="R9" s="532" t="n">
        <v>12</v>
      </c>
      <c r="S9" s="532" t="n">
        <v>12</v>
      </c>
      <c r="T9" s="532" t="n">
        <v>12</v>
      </c>
      <c r="U9" s="532" t="n">
        <v>12</v>
      </c>
      <c r="V9" s="532" t="n">
        <v>12</v>
      </c>
      <c r="W9" s="532" t="n">
        <v>12</v>
      </c>
      <c r="X9" s="532" t="n">
        <v>12</v>
      </c>
      <c r="Y9" s="533" t="n">
        <v>12</v>
      </c>
      <c r="Z9" s="532" t="n">
        <v>12</v>
      </c>
      <c r="AA9" s="533" t="n">
        <v>12</v>
      </c>
      <c r="AB9" s="532" t="n">
        <v>12</v>
      </c>
      <c r="AC9" s="533" t="n">
        <v>12</v>
      </c>
      <c r="AD9" s="532" t="n">
        <v>12</v>
      </c>
      <c r="AE9" s="533" t="n">
        <v>12</v>
      </c>
      <c r="AF9" s="532" t="n">
        <v>12</v>
      </c>
      <c r="AG9" s="533" t="n">
        <v>12</v>
      </c>
      <c r="AH9" s="532" t="n">
        <v>12</v>
      </c>
      <c r="AI9" s="527"/>
      <c r="AJ9" s="527"/>
      <c r="AK9" s="527"/>
      <c r="AL9" s="527"/>
      <c r="AM9" s="527"/>
      <c r="AN9" s="527"/>
      <c r="AO9" s="527"/>
      <c r="AP9" s="527"/>
      <c r="AQ9" s="527"/>
      <c r="AR9" s="527"/>
      <c r="AS9" s="527"/>
      <c r="AT9" s="527"/>
      <c r="AU9" s="527"/>
      <c r="AV9" s="527"/>
      <c r="AW9" s="527"/>
      <c r="AX9" s="527"/>
      <c r="AY9" s="527"/>
      <c r="AZ9" s="527"/>
      <c r="BA9" s="527"/>
      <c r="BB9" s="527"/>
      <c r="BC9" s="527"/>
      <c r="BD9" s="527"/>
      <c r="BE9" s="527"/>
      <c r="BF9" s="527"/>
      <c r="BG9" s="527"/>
      <c r="BH9" s="527"/>
      <c r="BI9" s="527"/>
      <c r="BJ9" s="527"/>
      <c r="BK9" s="527"/>
      <c r="BL9" s="527"/>
      <c r="BM9" s="527"/>
      <c r="BN9" s="527"/>
      <c r="BO9" s="527"/>
      <c r="BP9" s="527"/>
      <c r="BQ9" s="527"/>
      <c r="BR9" s="527"/>
      <c r="BS9" s="527"/>
      <c r="BT9" s="527"/>
      <c r="BU9" s="527"/>
      <c r="BV9" s="527"/>
      <c r="BW9" s="527"/>
      <c r="BX9" s="527"/>
      <c r="BY9" s="527"/>
      <c r="BZ9" s="527"/>
      <c r="CA9" s="527"/>
      <c r="CB9" s="527"/>
      <c r="CC9" s="527"/>
      <c r="CD9" s="527"/>
      <c r="CE9" s="527"/>
      <c r="CF9" s="527"/>
      <c r="CG9" s="527"/>
      <c r="CH9" s="527"/>
      <c r="CI9" s="527"/>
      <c r="CJ9" s="527"/>
      <c r="CK9" s="527"/>
      <c r="CL9" s="527"/>
      <c r="CM9" s="527"/>
      <c r="CN9" s="527"/>
      <c r="CO9" s="527"/>
      <c r="CP9" s="527"/>
      <c r="CQ9" s="527"/>
      <c r="CR9" s="527"/>
      <c r="CS9" s="527"/>
      <c r="CT9" s="527"/>
      <c r="CU9" s="527"/>
      <c r="CV9" s="527"/>
      <c r="CW9" s="527"/>
      <c r="CX9" s="527"/>
      <c r="CY9" s="527"/>
      <c r="CZ9" s="527"/>
      <c r="DA9" s="527"/>
      <c r="DB9" s="527"/>
      <c r="DC9" s="527"/>
      <c r="DD9" s="527"/>
      <c r="DE9" s="527"/>
      <c r="DF9" s="527"/>
      <c r="DG9" s="527"/>
      <c r="DH9" s="527"/>
      <c r="DI9" s="527"/>
      <c r="DJ9" s="527"/>
      <c r="DK9" s="527"/>
      <c r="DL9" s="527"/>
      <c r="DM9" s="527"/>
      <c r="DN9" s="527"/>
      <c r="DO9" s="527"/>
      <c r="DP9" s="527"/>
      <c r="DQ9" s="527"/>
      <c r="DR9" s="527"/>
      <c r="DS9" s="527"/>
      <c r="DT9" s="527"/>
      <c r="DU9" s="527"/>
      <c r="DV9" s="527"/>
      <c r="DW9" s="527"/>
      <c r="DX9" s="527"/>
      <c r="DY9" s="527"/>
      <c r="DZ9" s="527"/>
      <c r="EA9" s="527"/>
      <c r="EB9" s="527"/>
      <c r="EC9" s="527"/>
      <c r="ED9" s="527"/>
      <c r="EE9" s="527"/>
      <c r="EF9" s="527"/>
      <c r="EG9" s="527"/>
      <c r="EH9" s="527"/>
      <c r="EI9" s="527"/>
      <c r="EJ9" s="527"/>
      <c r="EK9" s="527"/>
      <c r="EL9" s="527"/>
      <c r="EM9" s="527"/>
      <c r="EN9" s="527"/>
      <c r="EO9" s="527"/>
      <c r="EP9" s="527"/>
      <c r="EQ9" s="527"/>
      <c r="ER9" s="527"/>
      <c r="ES9" s="527"/>
      <c r="ET9" s="527"/>
      <c r="EU9" s="527"/>
      <c r="EV9" s="527"/>
      <c r="EW9" s="527"/>
      <c r="EX9" s="527"/>
      <c r="EY9" s="527"/>
      <c r="EZ9" s="527"/>
      <c r="FA9" s="527"/>
      <c r="FB9" s="527"/>
      <c r="FC9" s="527"/>
      <c r="FD9" s="527"/>
      <c r="FE9" s="527"/>
      <c r="FF9" s="527"/>
      <c r="FG9" s="527"/>
      <c r="FH9" s="527"/>
      <c r="FI9" s="527"/>
      <c r="FJ9" s="527"/>
      <c r="FK9" s="527"/>
      <c r="FL9" s="527"/>
      <c r="FM9" s="527"/>
      <c r="FN9" s="527"/>
      <c r="FO9" s="527"/>
      <c r="FP9" s="527"/>
      <c r="FQ9" s="527"/>
      <c r="FR9" s="527"/>
      <c r="FS9" s="527"/>
      <c r="FT9" s="527"/>
      <c r="FU9" s="527"/>
      <c r="FV9" s="527"/>
      <c r="FW9" s="527"/>
      <c r="FX9" s="527"/>
      <c r="FY9" s="527"/>
      <c r="FZ9" s="527"/>
      <c r="GA9" s="527"/>
      <c r="GB9" s="527"/>
      <c r="GC9" s="527"/>
      <c r="GD9" s="527"/>
      <c r="GE9" s="527"/>
      <c r="GF9" s="527"/>
      <c r="GG9" s="527"/>
      <c r="GH9" s="527"/>
      <c r="GI9" s="527"/>
      <c r="GJ9" s="527"/>
      <c r="GK9" s="527"/>
      <c r="GL9" s="527"/>
      <c r="GM9" s="527"/>
      <c r="GN9" s="527"/>
      <c r="GO9" s="527"/>
      <c r="GP9" s="527"/>
      <c r="GQ9" s="527"/>
      <c r="GR9" s="527"/>
      <c r="GS9" s="527"/>
      <c r="GT9" s="527"/>
      <c r="GU9" s="527"/>
      <c r="GV9" s="527"/>
      <c r="GW9" s="527"/>
      <c r="GX9" s="527"/>
      <c r="GY9" s="527"/>
      <c r="GZ9" s="527"/>
      <c r="HA9" s="527"/>
      <c r="HB9" s="527"/>
      <c r="HC9" s="527"/>
      <c r="HD9" s="527"/>
      <c r="HE9" s="527"/>
      <c r="HF9" s="527"/>
      <c r="HG9" s="527"/>
      <c r="HH9" s="527"/>
      <c r="HI9" s="527"/>
      <c r="HJ9" s="527"/>
      <c r="HK9" s="527"/>
      <c r="HL9" s="527"/>
      <c r="HM9" s="527"/>
      <c r="HN9" s="527"/>
      <c r="HO9" s="527"/>
      <c r="HP9" s="527"/>
      <c r="HQ9" s="527"/>
      <c r="HR9" s="527"/>
      <c r="HS9" s="527"/>
      <c r="HT9" s="527"/>
      <c r="HU9" s="527"/>
      <c r="HV9" s="527"/>
      <c r="HW9" s="527"/>
      <c r="HX9" s="527"/>
      <c r="HY9" s="527"/>
      <c r="HZ9" s="527"/>
      <c r="IA9" s="527"/>
      <c r="IB9" s="527"/>
      <c r="IC9" s="527"/>
      <c r="ID9" s="527"/>
      <c r="IE9" s="527"/>
      <c r="IF9" s="527"/>
      <c r="IG9" s="527"/>
      <c r="IH9" s="527"/>
      <c r="II9" s="527"/>
      <c r="IJ9" s="527"/>
      <c r="IK9" s="527"/>
      <c r="IL9" s="527"/>
      <c r="IM9" s="527"/>
      <c r="IN9" s="527"/>
      <c r="IO9" s="527"/>
      <c r="IP9" s="527"/>
      <c r="IQ9" s="527"/>
      <c r="IR9" s="527"/>
      <c r="IS9" s="527"/>
      <c r="IT9" s="527"/>
      <c r="IU9" s="527"/>
      <c r="IV9" s="527"/>
      <c r="IW9" s="527"/>
    </row>
    <row r="10" customFormat="false" ht="12.75" hidden="false" customHeight="false" outlineLevel="0" collapsed="false">
      <c r="A10" s="530"/>
      <c r="B10" s="530"/>
      <c r="D10" s="39"/>
      <c r="E10" s="39"/>
      <c r="F10" s="39"/>
      <c r="G10" s="39"/>
      <c r="H10" s="39"/>
      <c r="I10" s="527"/>
      <c r="J10" s="527"/>
      <c r="K10" s="527"/>
      <c r="L10" s="527"/>
      <c r="M10" s="527"/>
      <c r="N10" s="527"/>
      <c r="O10" s="527"/>
      <c r="P10" s="527"/>
      <c r="Q10" s="527"/>
      <c r="R10" s="527"/>
      <c r="S10" s="527"/>
      <c r="T10" s="527"/>
      <c r="U10" s="527"/>
      <c r="V10" s="527"/>
      <c r="W10" s="527"/>
      <c r="X10" s="527"/>
      <c r="Y10" s="527"/>
      <c r="Z10" s="527"/>
      <c r="AA10" s="527"/>
      <c r="AB10" s="527"/>
      <c r="AC10" s="527"/>
      <c r="AD10" s="527"/>
      <c r="AE10" s="527"/>
      <c r="AF10" s="527"/>
      <c r="AG10" s="527"/>
      <c r="AH10" s="527"/>
      <c r="AI10" s="527"/>
      <c r="AJ10" s="527"/>
      <c r="AK10" s="527"/>
      <c r="AL10" s="527"/>
      <c r="AM10" s="527"/>
      <c r="AN10" s="527"/>
      <c r="AO10" s="527"/>
      <c r="AP10" s="527"/>
      <c r="AQ10" s="527"/>
      <c r="AR10" s="527"/>
      <c r="AS10" s="527"/>
      <c r="AT10" s="527"/>
      <c r="AU10" s="527"/>
      <c r="AV10" s="527"/>
      <c r="AW10" s="527"/>
      <c r="AX10" s="527"/>
      <c r="AY10" s="527"/>
      <c r="AZ10" s="527"/>
      <c r="BA10" s="527"/>
      <c r="BB10" s="527"/>
      <c r="BC10" s="527"/>
      <c r="BD10" s="527"/>
      <c r="BE10" s="527"/>
      <c r="BF10" s="527"/>
      <c r="BG10" s="527"/>
      <c r="BH10" s="527"/>
      <c r="BI10" s="527"/>
      <c r="BJ10" s="527"/>
      <c r="BK10" s="527"/>
      <c r="BL10" s="527"/>
      <c r="BM10" s="527"/>
      <c r="BN10" s="527"/>
      <c r="BO10" s="527"/>
      <c r="BP10" s="527"/>
      <c r="BQ10" s="527"/>
      <c r="BR10" s="527"/>
      <c r="BS10" s="527"/>
      <c r="BT10" s="527"/>
      <c r="BU10" s="527"/>
      <c r="BV10" s="527"/>
      <c r="BW10" s="527"/>
      <c r="BX10" s="527"/>
      <c r="BY10" s="527"/>
      <c r="BZ10" s="527"/>
      <c r="CA10" s="527"/>
      <c r="CB10" s="527"/>
      <c r="CC10" s="527"/>
      <c r="CD10" s="527"/>
      <c r="CE10" s="527"/>
      <c r="CF10" s="527"/>
      <c r="CG10" s="527"/>
      <c r="CH10" s="527"/>
      <c r="CI10" s="527"/>
      <c r="CJ10" s="527"/>
      <c r="CK10" s="527"/>
      <c r="CL10" s="527"/>
      <c r="CM10" s="527"/>
      <c r="CN10" s="527"/>
      <c r="CO10" s="527"/>
      <c r="CP10" s="527"/>
      <c r="CQ10" s="527"/>
      <c r="CR10" s="527"/>
      <c r="CS10" s="527"/>
      <c r="CT10" s="527"/>
      <c r="CU10" s="527"/>
      <c r="CV10" s="527"/>
      <c r="CW10" s="527"/>
      <c r="CX10" s="527"/>
      <c r="CY10" s="527"/>
      <c r="CZ10" s="527"/>
      <c r="DA10" s="527"/>
      <c r="DB10" s="527"/>
      <c r="DC10" s="527"/>
      <c r="DD10" s="527"/>
      <c r="DE10" s="527"/>
      <c r="DF10" s="527"/>
      <c r="DG10" s="527"/>
      <c r="DH10" s="527"/>
      <c r="DI10" s="527"/>
      <c r="DJ10" s="527"/>
      <c r="DK10" s="527"/>
      <c r="DL10" s="527"/>
      <c r="DM10" s="527"/>
      <c r="DN10" s="527"/>
      <c r="DO10" s="527"/>
      <c r="DP10" s="527"/>
      <c r="DQ10" s="527"/>
      <c r="DR10" s="527"/>
      <c r="DS10" s="527"/>
      <c r="DT10" s="527"/>
      <c r="DU10" s="527"/>
      <c r="DV10" s="527"/>
      <c r="DW10" s="527"/>
      <c r="DX10" s="527"/>
      <c r="DY10" s="527"/>
      <c r="DZ10" s="527"/>
      <c r="EA10" s="527"/>
      <c r="EB10" s="527"/>
      <c r="EC10" s="527"/>
      <c r="ED10" s="527"/>
      <c r="EE10" s="527"/>
      <c r="EF10" s="527"/>
      <c r="EG10" s="527"/>
      <c r="EH10" s="527"/>
      <c r="EI10" s="527"/>
      <c r="EJ10" s="527"/>
      <c r="EK10" s="527"/>
      <c r="EL10" s="527"/>
      <c r="EM10" s="527"/>
      <c r="EN10" s="527"/>
      <c r="EO10" s="527"/>
      <c r="EP10" s="527"/>
      <c r="EQ10" s="527"/>
      <c r="ER10" s="527"/>
      <c r="ES10" s="527"/>
      <c r="ET10" s="527"/>
      <c r="EU10" s="527"/>
      <c r="EV10" s="527"/>
      <c r="EW10" s="527"/>
      <c r="EX10" s="527"/>
      <c r="EY10" s="527"/>
      <c r="EZ10" s="527"/>
      <c r="FA10" s="527"/>
      <c r="FB10" s="527"/>
      <c r="FC10" s="527"/>
      <c r="FD10" s="527"/>
      <c r="FE10" s="527"/>
      <c r="FF10" s="527"/>
      <c r="FG10" s="527"/>
      <c r="FH10" s="527"/>
      <c r="FI10" s="527"/>
      <c r="FJ10" s="527"/>
      <c r="FK10" s="527"/>
      <c r="FL10" s="527"/>
      <c r="FM10" s="527"/>
      <c r="FN10" s="527"/>
      <c r="FO10" s="527"/>
      <c r="FP10" s="527"/>
      <c r="FQ10" s="527"/>
      <c r="FR10" s="527"/>
      <c r="FS10" s="527"/>
      <c r="FT10" s="527"/>
      <c r="FU10" s="527"/>
      <c r="FV10" s="527"/>
      <c r="FW10" s="527"/>
      <c r="FX10" s="527"/>
      <c r="FY10" s="527"/>
      <c r="FZ10" s="527"/>
      <c r="GA10" s="527"/>
      <c r="GB10" s="527"/>
      <c r="GC10" s="527"/>
      <c r="GD10" s="527"/>
      <c r="GE10" s="527"/>
      <c r="GF10" s="527"/>
      <c r="GG10" s="527"/>
      <c r="GH10" s="527"/>
      <c r="GI10" s="527"/>
      <c r="GJ10" s="527"/>
      <c r="GK10" s="527"/>
      <c r="GL10" s="527"/>
      <c r="GM10" s="527"/>
      <c r="GN10" s="527"/>
      <c r="GO10" s="527"/>
      <c r="GP10" s="527"/>
      <c r="GQ10" s="527"/>
      <c r="GR10" s="527"/>
      <c r="GS10" s="527"/>
      <c r="GT10" s="527"/>
      <c r="GU10" s="527"/>
      <c r="GV10" s="527"/>
      <c r="GW10" s="527"/>
      <c r="GX10" s="527"/>
      <c r="GY10" s="527"/>
      <c r="GZ10" s="527"/>
      <c r="HA10" s="527"/>
      <c r="HB10" s="527"/>
      <c r="HC10" s="527"/>
      <c r="HD10" s="527"/>
      <c r="HE10" s="527"/>
      <c r="HF10" s="527"/>
      <c r="HG10" s="527"/>
      <c r="HH10" s="527"/>
      <c r="HI10" s="527"/>
      <c r="HJ10" s="527"/>
      <c r="HK10" s="527"/>
      <c r="HL10" s="527"/>
      <c r="HM10" s="527"/>
      <c r="HN10" s="527"/>
      <c r="HO10" s="527"/>
      <c r="HP10" s="527"/>
      <c r="HQ10" s="527"/>
      <c r="HR10" s="527"/>
      <c r="HS10" s="527"/>
      <c r="HT10" s="527"/>
      <c r="HU10" s="527"/>
      <c r="HV10" s="527"/>
      <c r="HW10" s="527"/>
      <c r="HX10" s="527"/>
      <c r="HY10" s="527"/>
      <c r="HZ10" s="527"/>
      <c r="IA10" s="527"/>
      <c r="IB10" s="527"/>
      <c r="IC10" s="527"/>
      <c r="ID10" s="527"/>
      <c r="IE10" s="527"/>
      <c r="IF10" s="527"/>
      <c r="IG10" s="527"/>
      <c r="IH10" s="527"/>
      <c r="II10" s="527"/>
      <c r="IJ10" s="527"/>
      <c r="IK10" s="527"/>
      <c r="IL10" s="527"/>
      <c r="IM10" s="527"/>
      <c r="IN10" s="527"/>
      <c r="IO10" s="527"/>
      <c r="IP10" s="527"/>
      <c r="IQ10" s="527"/>
      <c r="IR10" s="527"/>
      <c r="IS10" s="527"/>
      <c r="IT10" s="527"/>
      <c r="IU10" s="527"/>
      <c r="IV10" s="527"/>
      <c r="IW10" s="527"/>
    </row>
    <row r="11" customFormat="false" ht="15.75" hidden="false" customHeight="false" outlineLevel="0" collapsed="false">
      <c r="A11" s="4"/>
    </row>
    <row r="12" customFormat="false" ht="12.75" hidden="false" customHeight="false" outlineLevel="0" collapsed="false">
      <c r="A12" s="534" t="s">
        <v>370</v>
      </c>
      <c r="C12" s="535"/>
      <c r="D12" s="536"/>
      <c r="E12" s="536"/>
      <c r="F12" s="536"/>
      <c r="G12" s="536"/>
      <c r="H12" s="536"/>
      <c r="I12" s="536"/>
      <c r="J12" s="536"/>
      <c r="K12" s="536"/>
      <c r="L12" s="536"/>
      <c r="M12" s="536"/>
      <c r="N12" s="536"/>
      <c r="O12" s="536"/>
      <c r="P12" s="536"/>
      <c r="Q12" s="536"/>
      <c r="R12" s="536"/>
      <c r="S12" s="536"/>
      <c r="T12" s="536"/>
      <c r="U12" s="536"/>
      <c r="V12" s="536"/>
      <c r="W12" s="536"/>
      <c r="X12" s="536"/>
      <c r="Y12" s="536"/>
      <c r="Z12" s="536"/>
      <c r="AA12" s="536"/>
      <c r="AB12" s="536"/>
      <c r="AC12" s="536"/>
      <c r="AD12" s="536"/>
      <c r="AE12" s="536"/>
      <c r="AF12" s="536"/>
      <c r="AG12" s="536"/>
      <c r="AH12" s="536"/>
      <c r="AI12" s="537"/>
      <c r="AJ12" s="537"/>
      <c r="AK12" s="537"/>
      <c r="AL12" s="537"/>
      <c r="AM12" s="537"/>
      <c r="AN12" s="537"/>
      <c r="AO12" s="537"/>
      <c r="AP12" s="537"/>
      <c r="AQ12" s="537"/>
      <c r="AR12" s="537"/>
      <c r="AS12" s="537"/>
      <c r="AT12" s="537"/>
      <c r="AU12" s="537"/>
      <c r="AV12" s="537"/>
      <c r="AW12" s="537"/>
      <c r="AX12" s="537"/>
      <c r="AY12" s="537"/>
      <c r="AZ12" s="537"/>
      <c r="BA12" s="537"/>
      <c r="BB12" s="537"/>
      <c r="BC12" s="537"/>
      <c r="BD12" s="537"/>
      <c r="BE12" s="537"/>
      <c r="BF12" s="537"/>
      <c r="BG12" s="537"/>
      <c r="BH12" s="537"/>
      <c r="BI12" s="537"/>
      <c r="BJ12" s="537"/>
      <c r="BK12" s="537"/>
      <c r="BL12" s="537"/>
      <c r="BM12" s="537"/>
      <c r="BN12" s="537"/>
      <c r="BO12" s="537"/>
      <c r="BP12" s="537"/>
      <c r="BQ12" s="537"/>
      <c r="BR12" s="537"/>
      <c r="BS12" s="537"/>
      <c r="BT12" s="537"/>
      <c r="BU12" s="537"/>
      <c r="BV12" s="537"/>
      <c r="BW12" s="537"/>
      <c r="BX12" s="537"/>
      <c r="BY12" s="537"/>
      <c r="BZ12" s="537"/>
      <c r="CA12" s="537"/>
      <c r="CB12" s="537"/>
      <c r="CC12" s="537"/>
      <c r="CD12" s="537"/>
      <c r="CE12" s="537"/>
      <c r="CF12" s="537"/>
      <c r="CG12" s="537"/>
      <c r="CH12" s="537"/>
      <c r="CI12" s="537"/>
      <c r="CJ12" s="537"/>
      <c r="CK12" s="537"/>
      <c r="CL12" s="537"/>
      <c r="CM12" s="537"/>
      <c r="CN12" s="537"/>
      <c r="CO12" s="537"/>
      <c r="CP12" s="537"/>
      <c r="CQ12" s="537"/>
      <c r="CR12" s="537"/>
      <c r="CS12" s="537"/>
      <c r="CT12" s="537"/>
      <c r="CU12" s="537"/>
      <c r="CV12" s="537"/>
      <c r="CW12" s="537"/>
      <c r="CX12" s="537"/>
      <c r="CY12" s="537"/>
      <c r="CZ12" s="537"/>
      <c r="DA12" s="537"/>
      <c r="DB12" s="537"/>
      <c r="DC12" s="537"/>
      <c r="DD12" s="537"/>
      <c r="DE12" s="537"/>
      <c r="DF12" s="537"/>
      <c r="DG12" s="537"/>
      <c r="DH12" s="537"/>
      <c r="DI12" s="537"/>
      <c r="DJ12" s="537"/>
      <c r="DK12" s="537"/>
      <c r="DL12" s="537"/>
      <c r="DM12" s="537"/>
      <c r="DN12" s="537"/>
      <c r="DO12" s="537"/>
      <c r="DP12" s="537"/>
      <c r="DQ12" s="537"/>
      <c r="DR12" s="537"/>
      <c r="DS12" s="537"/>
      <c r="DT12" s="537"/>
      <c r="DU12" s="537"/>
      <c r="DV12" s="537"/>
      <c r="DW12" s="537"/>
      <c r="DX12" s="537"/>
      <c r="DY12" s="537"/>
      <c r="DZ12" s="537"/>
      <c r="EA12" s="537"/>
      <c r="EB12" s="537"/>
      <c r="EC12" s="537"/>
      <c r="ED12" s="537"/>
      <c r="EE12" s="537"/>
      <c r="EF12" s="537"/>
      <c r="EG12" s="537"/>
      <c r="EH12" s="537"/>
      <c r="EI12" s="537"/>
      <c r="EJ12" s="537"/>
      <c r="EK12" s="537"/>
      <c r="EL12" s="537"/>
      <c r="EM12" s="537"/>
      <c r="EN12" s="537"/>
      <c r="EO12" s="537"/>
      <c r="EP12" s="537"/>
      <c r="EQ12" s="537"/>
      <c r="ER12" s="537"/>
      <c r="ES12" s="537"/>
      <c r="ET12" s="537"/>
      <c r="EU12" s="537"/>
      <c r="EV12" s="537"/>
      <c r="EW12" s="537"/>
      <c r="EX12" s="537"/>
      <c r="EY12" s="537"/>
      <c r="EZ12" s="537"/>
      <c r="FA12" s="537"/>
      <c r="FB12" s="537"/>
      <c r="FC12" s="537"/>
      <c r="FD12" s="537"/>
      <c r="FE12" s="537"/>
      <c r="FF12" s="537"/>
      <c r="FG12" s="537"/>
      <c r="FH12" s="537"/>
      <c r="FI12" s="537"/>
      <c r="FJ12" s="537"/>
      <c r="FK12" s="537"/>
      <c r="FL12" s="537"/>
      <c r="FM12" s="537"/>
      <c r="FN12" s="537"/>
      <c r="FO12" s="537"/>
      <c r="FP12" s="537"/>
      <c r="FQ12" s="537"/>
      <c r="FR12" s="537"/>
      <c r="FS12" s="537"/>
      <c r="FT12" s="537"/>
      <c r="FU12" s="537"/>
      <c r="FV12" s="537"/>
      <c r="FW12" s="537"/>
      <c r="FX12" s="537"/>
      <c r="FY12" s="537"/>
      <c r="FZ12" s="537"/>
      <c r="GA12" s="537"/>
      <c r="GB12" s="537"/>
      <c r="GC12" s="537"/>
      <c r="GD12" s="537"/>
      <c r="GE12" s="537"/>
      <c r="GF12" s="537"/>
      <c r="GG12" s="537"/>
      <c r="GH12" s="537"/>
      <c r="GI12" s="537"/>
      <c r="GJ12" s="537"/>
      <c r="GK12" s="537"/>
      <c r="GL12" s="537"/>
      <c r="GM12" s="537"/>
      <c r="GN12" s="537"/>
      <c r="GO12" s="537"/>
      <c r="GP12" s="537"/>
      <c r="GQ12" s="537"/>
      <c r="GR12" s="537"/>
      <c r="GS12" s="537"/>
      <c r="GT12" s="537"/>
      <c r="GU12" s="537"/>
      <c r="GV12" s="537"/>
      <c r="GW12" s="537"/>
      <c r="GX12" s="537"/>
      <c r="GY12" s="537"/>
      <c r="GZ12" s="537"/>
      <c r="HA12" s="537"/>
      <c r="HB12" s="537"/>
      <c r="HC12" s="537"/>
      <c r="HD12" s="537"/>
      <c r="HE12" s="537"/>
      <c r="HF12" s="537"/>
      <c r="HG12" s="537"/>
      <c r="HH12" s="537"/>
      <c r="HI12" s="537"/>
      <c r="HJ12" s="537"/>
      <c r="HK12" s="537"/>
      <c r="HL12" s="537"/>
      <c r="HM12" s="537"/>
      <c r="HN12" s="537"/>
      <c r="HO12" s="537"/>
      <c r="HP12" s="537"/>
      <c r="HQ12" s="537"/>
      <c r="HR12" s="537"/>
      <c r="HS12" s="537"/>
      <c r="HT12" s="537"/>
      <c r="HU12" s="537"/>
      <c r="HV12" s="537"/>
      <c r="HW12" s="537"/>
      <c r="HX12" s="537"/>
      <c r="HY12" s="537"/>
      <c r="HZ12" s="537"/>
      <c r="IA12" s="537"/>
      <c r="IB12" s="537"/>
      <c r="IC12" s="537"/>
      <c r="ID12" s="537"/>
      <c r="IE12" s="537"/>
      <c r="IF12" s="537"/>
      <c r="IG12" s="537"/>
      <c r="IH12" s="537"/>
      <c r="II12" s="537"/>
      <c r="IJ12" s="537"/>
      <c r="IK12" s="537"/>
      <c r="IL12" s="537"/>
      <c r="IM12" s="537"/>
      <c r="IN12" s="537"/>
      <c r="IO12" s="537"/>
      <c r="IP12" s="537"/>
      <c r="IQ12" s="537"/>
      <c r="IR12" s="537"/>
      <c r="IS12" s="537"/>
      <c r="IT12" s="537"/>
      <c r="IU12" s="537"/>
      <c r="IV12" s="537"/>
      <c r="IW12" s="537"/>
    </row>
    <row r="13" customFormat="false" ht="12.75" hidden="false" customHeight="false" outlineLevel="0" collapsed="false">
      <c r="B13" s="538" t="s">
        <v>371</v>
      </c>
      <c r="D13" s="394"/>
      <c r="E13" s="539"/>
      <c r="F13" s="539"/>
      <c r="G13" s="539"/>
      <c r="H13" s="539"/>
      <c r="I13" s="539"/>
      <c r="J13" s="539"/>
      <c r="K13" s="539"/>
      <c r="L13" s="539"/>
      <c r="M13" s="539"/>
      <c r="N13" s="539"/>
      <c r="O13" s="539"/>
      <c r="P13" s="539"/>
      <c r="Q13" s="539"/>
      <c r="R13" s="539"/>
      <c r="AI13" s="537"/>
      <c r="AJ13" s="537"/>
      <c r="AK13" s="537"/>
      <c r="AL13" s="537"/>
      <c r="AM13" s="537"/>
      <c r="AN13" s="537"/>
      <c r="AO13" s="537"/>
      <c r="AP13" s="537"/>
      <c r="AQ13" s="537"/>
      <c r="AR13" s="537"/>
      <c r="AS13" s="537"/>
      <c r="AT13" s="537"/>
      <c r="AU13" s="537"/>
      <c r="AV13" s="537"/>
      <c r="AW13" s="537"/>
      <c r="AX13" s="537"/>
      <c r="AY13" s="537"/>
      <c r="AZ13" s="537"/>
      <c r="BA13" s="537"/>
      <c r="BB13" s="537"/>
      <c r="BC13" s="537"/>
      <c r="BD13" s="537"/>
      <c r="BE13" s="537"/>
      <c r="BF13" s="537"/>
      <c r="BG13" s="537"/>
      <c r="BH13" s="537"/>
      <c r="BI13" s="537"/>
      <c r="BJ13" s="537"/>
      <c r="BK13" s="537"/>
      <c r="BL13" s="537"/>
      <c r="BM13" s="537"/>
      <c r="BN13" s="537"/>
      <c r="BO13" s="537"/>
      <c r="BP13" s="537"/>
      <c r="BQ13" s="537"/>
      <c r="BR13" s="537"/>
      <c r="BS13" s="537"/>
      <c r="BT13" s="537"/>
      <c r="BU13" s="537"/>
      <c r="BV13" s="537"/>
      <c r="BW13" s="537"/>
      <c r="BX13" s="537"/>
      <c r="BY13" s="537"/>
      <c r="BZ13" s="537"/>
      <c r="CA13" s="537"/>
      <c r="CB13" s="537"/>
      <c r="CC13" s="537"/>
      <c r="CD13" s="537"/>
      <c r="CE13" s="537"/>
      <c r="CF13" s="537"/>
      <c r="CG13" s="537"/>
      <c r="CH13" s="537"/>
      <c r="CI13" s="537"/>
      <c r="CJ13" s="537"/>
      <c r="CK13" s="537"/>
      <c r="CL13" s="537"/>
      <c r="CM13" s="537"/>
      <c r="CN13" s="537"/>
      <c r="CO13" s="537"/>
      <c r="CP13" s="537"/>
      <c r="CQ13" s="537"/>
      <c r="CR13" s="537"/>
      <c r="CS13" s="537"/>
      <c r="CT13" s="537"/>
      <c r="CU13" s="537"/>
      <c r="CV13" s="537"/>
      <c r="CW13" s="537"/>
      <c r="CX13" s="537"/>
      <c r="CY13" s="537"/>
      <c r="CZ13" s="537"/>
      <c r="DA13" s="537"/>
      <c r="DB13" s="537"/>
      <c r="DC13" s="537"/>
      <c r="DD13" s="537"/>
      <c r="DE13" s="537"/>
      <c r="DF13" s="537"/>
      <c r="DG13" s="537"/>
      <c r="DH13" s="537"/>
      <c r="DI13" s="537"/>
      <c r="DJ13" s="537"/>
      <c r="DK13" s="537"/>
      <c r="DL13" s="537"/>
      <c r="DM13" s="537"/>
      <c r="DN13" s="537"/>
      <c r="DO13" s="537"/>
      <c r="DP13" s="537"/>
      <c r="DQ13" s="537"/>
      <c r="DR13" s="537"/>
      <c r="DS13" s="537"/>
      <c r="DT13" s="537"/>
      <c r="DU13" s="537"/>
      <c r="DV13" s="537"/>
      <c r="DW13" s="537"/>
      <c r="DX13" s="537"/>
      <c r="DY13" s="537"/>
      <c r="DZ13" s="537"/>
      <c r="EA13" s="537"/>
      <c r="EB13" s="537"/>
      <c r="EC13" s="537"/>
      <c r="ED13" s="537"/>
      <c r="EE13" s="537"/>
      <c r="EF13" s="537"/>
      <c r="EG13" s="537"/>
      <c r="EH13" s="537"/>
      <c r="EI13" s="537"/>
      <c r="EJ13" s="537"/>
      <c r="EK13" s="537"/>
      <c r="EL13" s="537"/>
      <c r="EM13" s="537"/>
      <c r="EN13" s="537"/>
      <c r="EO13" s="537"/>
      <c r="EP13" s="537"/>
      <c r="EQ13" s="537"/>
      <c r="ER13" s="537"/>
      <c r="ES13" s="537"/>
      <c r="ET13" s="537"/>
      <c r="EU13" s="537"/>
      <c r="EV13" s="537"/>
      <c r="EW13" s="537"/>
      <c r="EX13" s="537"/>
      <c r="EY13" s="537"/>
      <c r="EZ13" s="537"/>
      <c r="FA13" s="537"/>
      <c r="FB13" s="537"/>
      <c r="FC13" s="537"/>
      <c r="FD13" s="537"/>
      <c r="FE13" s="537"/>
      <c r="FF13" s="537"/>
      <c r="FG13" s="537"/>
      <c r="FH13" s="537"/>
      <c r="FI13" s="537"/>
      <c r="FJ13" s="537"/>
      <c r="FK13" s="537"/>
      <c r="FL13" s="537"/>
      <c r="FM13" s="537"/>
      <c r="FN13" s="537"/>
      <c r="FO13" s="537"/>
      <c r="FP13" s="537"/>
      <c r="FQ13" s="537"/>
      <c r="FR13" s="537"/>
      <c r="FS13" s="537"/>
      <c r="FT13" s="537"/>
      <c r="FU13" s="537"/>
      <c r="FV13" s="537"/>
      <c r="FW13" s="537"/>
      <c r="FX13" s="537"/>
      <c r="FY13" s="537"/>
      <c r="FZ13" s="537"/>
      <c r="GA13" s="537"/>
      <c r="GB13" s="537"/>
      <c r="GC13" s="537"/>
      <c r="GD13" s="537"/>
      <c r="GE13" s="537"/>
      <c r="GF13" s="537"/>
      <c r="GG13" s="537"/>
      <c r="GH13" s="537"/>
      <c r="GI13" s="537"/>
      <c r="GJ13" s="537"/>
      <c r="GK13" s="537"/>
      <c r="GL13" s="537"/>
      <c r="GM13" s="537"/>
      <c r="GN13" s="537"/>
      <c r="GO13" s="537"/>
      <c r="GP13" s="537"/>
      <c r="GQ13" s="537"/>
      <c r="GR13" s="537"/>
      <c r="GS13" s="537"/>
      <c r="GT13" s="537"/>
      <c r="GU13" s="537"/>
      <c r="GV13" s="537"/>
      <c r="GW13" s="537"/>
      <c r="GX13" s="537"/>
      <c r="GY13" s="537"/>
      <c r="GZ13" s="537"/>
      <c r="HA13" s="537"/>
      <c r="HB13" s="537"/>
      <c r="HC13" s="537"/>
      <c r="HD13" s="537"/>
      <c r="HE13" s="537"/>
      <c r="HF13" s="537"/>
      <c r="HG13" s="537"/>
      <c r="HH13" s="537"/>
      <c r="HI13" s="537"/>
      <c r="HJ13" s="537"/>
      <c r="HK13" s="537"/>
      <c r="HL13" s="537"/>
      <c r="HM13" s="537"/>
      <c r="HN13" s="537"/>
      <c r="HO13" s="537"/>
      <c r="HP13" s="537"/>
      <c r="HQ13" s="537"/>
      <c r="HR13" s="537"/>
      <c r="HS13" s="537"/>
      <c r="HT13" s="537"/>
      <c r="HU13" s="537"/>
      <c r="HV13" s="537"/>
      <c r="HW13" s="537"/>
      <c r="HX13" s="537"/>
      <c r="HY13" s="537"/>
      <c r="HZ13" s="537"/>
      <c r="IA13" s="537"/>
      <c r="IB13" s="537"/>
      <c r="IC13" s="537"/>
      <c r="ID13" s="537"/>
      <c r="IE13" s="537"/>
      <c r="IF13" s="537"/>
      <c r="IG13" s="537"/>
      <c r="IH13" s="537"/>
      <c r="II13" s="537"/>
      <c r="IJ13" s="537"/>
      <c r="IK13" s="537"/>
      <c r="IL13" s="537"/>
      <c r="IM13" s="537"/>
      <c r="IN13" s="537"/>
      <c r="IO13" s="537"/>
      <c r="IP13" s="537"/>
      <c r="IQ13" s="537"/>
      <c r="IR13" s="537"/>
      <c r="IS13" s="537"/>
      <c r="IT13" s="537"/>
      <c r="IU13" s="537"/>
      <c r="IV13" s="537"/>
      <c r="IW13" s="537"/>
    </row>
    <row r="14" customFormat="false" ht="12.75" hidden="false" customHeight="false" outlineLevel="0" collapsed="false">
      <c r="A14" s="540" t="s">
        <v>372</v>
      </c>
      <c r="B14" s="541" t="n">
        <f aca="false">Assumptions!$N$46</f>
        <v>15</v>
      </c>
      <c r="C14" s="542"/>
      <c r="D14" s="543" t="n">
        <v>0.05</v>
      </c>
      <c r="E14" s="543" t="n">
        <v>0.095</v>
      </c>
      <c r="F14" s="543" t="n">
        <v>0.0855</v>
      </c>
      <c r="G14" s="543" t="n">
        <v>0.077</v>
      </c>
      <c r="H14" s="543" t="n">
        <v>0.0693</v>
      </c>
      <c r="I14" s="543" t="n">
        <v>0.0623</v>
      </c>
      <c r="J14" s="543" t="n">
        <v>0.059</v>
      </c>
      <c r="K14" s="543" t="n">
        <v>0.0591</v>
      </c>
      <c r="L14" s="543" t="n">
        <v>0.059</v>
      </c>
      <c r="M14" s="543" t="n">
        <v>0.0591</v>
      </c>
      <c r="N14" s="543" t="n">
        <v>0.059</v>
      </c>
      <c r="O14" s="543" t="n">
        <v>0.0591</v>
      </c>
      <c r="P14" s="543" t="n">
        <v>0.059</v>
      </c>
      <c r="Q14" s="543" t="n">
        <v>0.0591</v>
      </c>
      <c r="R14" s="543" t="n">
        <v>0.059</v>
      </c>
      <c r="S14" s="543" t="n">
        <v>0.0295</v>
      </c>
      <c r="T14" s="543" t="n">
        <v>0</v>
      </c>
      <c r="U14" s="543" t="n">
        <v>0</v>
      </c>
      <c r="V14" s="543" t="n">
        <v>0</v>
      </c>
      <c r="W14" s="543" t="n">
        <v>0</v>
      </c>
      <c r="X14" s="543" t="n">
        <v>0</v>
      </c>
      <c r="Y14" s="543" t="n">
        <v>0</v>
      </c>
      <c r="Z14" s="543" t="n">
        <v>0</v>
      </c>
      <c r="AA14" s="543" t="n">
        <v>0</v>
      </c>
      <c r="AB14" s="543" t="n">
        <v>0</v>
      </c>
      <c r="AC14" s="543" t="n">
        <v>0</v>
      </c>
      <c r="AD14" s="543" t="n">
        <v>0</v>
      </c>
      <c r="AE14" s="543" t="n">
        <v>0</v>
      </c>
      <c r="AF14" s="543" t="n">
        <v>0</v>
      </c>
      <c r="AG14" s="543" t="n">
        <v>0</v>
      </c>
      <c r="AH14" s="543" t="n">
        <v>0</v>
      </c>
      <c r="AI14" s="537"/>
      <c r="AJ14" s="537"/>
      <c r="AK14" s="537"/>
      <c r="AL14" s="537"/>
      <c r="AM14" s="537"/>
      <c r="AN14" s="537"/>
      <c r="AO14" s="537"/>
      <c r="AP14" s="537"/>
      <c r="AQ14" s="537"/>
      <c r="AR14" s="537"/>
      <c r="AS14" s="537"/>
      <c r="AT14" s="537"/>
      <c r="AU14" s="537"/>
      <c r="AV14" s="537"/>
      <c r="AW14" s="537"/>
      <c r="AX14" s="537"/>
      <c r="AY14" s="537"/>
      <c r="AZ14" s="537"/>
      <c r="BA14" s="537"/>
      <c r="BB14" s="537"/>
      <c r="BC14" s="537"/>
      <c r="BD14" s="537"/>
      <c r="BE14" s="537"/>
      <c r="BF14" s="537"/>
      <c r="BG14" s="537"/>
      <c r="BH14" s="537"/>
      <c r="BI14" s="537"/>
      <c r="BJ14" s="537"/>
      <c r="BK14" s="537"/>
      <c r="BL14" s="537"/>
      <c r="BM14" s="537"/>
      <c r="BN14" s="537"/>
      <c r="BO14" s="537"/>
      <c r="BP14" s="537"/>
      <c r="BQ14" s="537"/>
      <c r="BR14" s="537"/>
      <c r="BS14" s="537"/>
      <c r="BT14" s="537"/>
      <c r="BU14" s="537"/>
      <c r="BV14" s="537"/>
      <c r="BW14" s="537"/>
      <c r="BX14" s="537"/>
      <c r="BY14" s="537"/>
      <c r="BZ14" s="537"/>
      <c r="CA14" s="537"/>
      <c r="CB14" s="537"/>
      <c r="CC14" s="537"/>
      <c r="CD14" s="537"/>
      <c r="CE14" s="537"/>
      <c r="CF14" s="537"/>
      <c r="CG14" s="537"/>
      <c r="CH14" s="537"/>
      <c r="CI14" s="537"/>
      <c r="CJ14" s="537"/>
      <c r="CK14" s="537"/>
      <c r="CL14" s="537"/>
      <c r="CM14" s="537"/>
      <c r="CN14" s="537"/>
      <c r="CO14" s="537"/>
      <c r="CP14" s="537"/>
      <c r="CQ14" s="537"/>
      <c r="CR14" s="537"/>
      <c r="CS14" s="537"/>
      <c r="CT14" s="537"/>
      <c r="CU14" s="537"/>
      <c r="CV14" s="537"/>
      <c r="CW14" s="537"/>
      <c r="CX14" s="537"/>
      <c r="CY14" s="537"/>
      <c r="CZ14" s="537"/>
      <c r="DA14" s="537"/>
      <c r="DB14" s="537"/>
      <c r="DC14" s="537"/>
      <c r="DD14" s="537"/>
      <c r="DE14" s="537"/>
      <c r="DF14" s="537"/>
      <c r="DG14" s="537"/>
      <c r="DH14" s="537"/>
      <c r="DI14" s="537"/>
      <c r="DJ14" s="537"/>
      <c r="DK14" s="537"/>
      <c r="DL14" s="537"/>
      <c r="DM14" s="537"/>
      <c r="DN14" s="537"/>
      <c r="DO14" s="537"/>
      <c r="DP14" s="537"/>
      <c r="DQ14" s="537"/>
      <c r="DR14" s="537"/>
      <c r="DS14" s="537"/>
      <c r="DT14" s="537"/>
      <c r="DU14" s="537"/>
      <c r="DV14" s="537"/>
      <c r="DW14" s="537"/>
      <c r="DX14" s="537"/>
      <c r="DY14" s="537"/>
      <c r="DZ14" s="537"/>
      <c r="EA14" s="537"/>
      <c r="EB14" s="537"/>
      <c r="EC14" s="537"/>
      <c r="ED14" s="537"/>
      <c r="EE14" s="537"/>
      <c r="EF14" s="537"/>
      <c r="EG14" s="537"/>
      <c r="EH14" s="537"/>
      <c r="EI14" s="537"/>
      <c r="EJ14" s="537"/>
      <c r="EK14" s="537"/>
      <c r="EL14" s="537"/>
      <c r="EM14" s="537"/>
      <c r="EN14" s="537"/>
      <c r="EO14" s="537"/>
      <c r="EP14" s="537"/>
      <c r="EQ14" s="537"/>
      <c r="ER14" s="537"/>
      <c r="ES14" s="537"/>
      <c r="ET14" s="537"/>
      <c r="EU14" s="537"/>
      <c r="EV14" s="537"/>
      <c r="EW14" s="537"/>
      <c r="EX14" s="537"/>
      <c r="EY14" s="537"/>
      <c r="EZ14" s="537"/>
      <c r="FA14" s="537"/>
      <c r="FB14" s="537"/>
      <c r="FC14" s="537"/>
      <c r="FD14" s="537"/>
      <c r="FE14" s="537"/>
      <c r="FF14" s="537"/>
      <c r="FG14" s="537"/>
      <c r="FH14" s="537"/>
      <c r="FI14" s="537"/>
      <c r="FJ14" s="537"/>
      <c r="FK14" s="537"/>
      <c r="FL14" s="537"/>
      <c r="FM14" s="537"/>
      <c r="FN14" s="537"/>
      <c r="FO14" s="537"/>
      <c r="FP14" s="537"/>
      <c r="FQ14" s="537"/>
      <c r="FR14" s="537"/>
      <c r="FS14" s="537"/>
      <c r="FT14" s="537"/>
      <c r="FU14" s="537"/>
      <c r="FV14" s="537"/>
      <c r="FW14" s="537"/>
      <c r="FX14" s="537"/>
      <c r="FY14" s="537"/>
      <c r="FZ14" s="537"/>
      <c r="GA14" s="537"/>
      <c r="GB14" s="537"/>
      <c r="GC14" s="537"/>
      <c r="GD14" s="537"/>
      <c r="GE14" s="537"/>
      <c r="GF14" s="537"/>
      <c r="GG14" s="537"/>
      <c r="GH14" s="537"/>
      <c r="GI14" s="537"/>
      <c r="GJ14" s="537"/>
      <c r="GK14" s="537"/>
      <c r="GL14" s="537"/>
      <c r="GM14" s="537"/>
      <c r="GN14" s="537"/>
      <c r="GO14" s="537"/>
      <c r="GP14" s="537"/>
      <c r="GQ14" s="537"/>
      <c r="GR14" s="537"/>
      <c r="GS14" s="537"/>
      <c r="GT14" s="537"/>
      <c r="GU14" s="537"/>
      <c r="GV14" s="537"/>
      <c r="GW14" s="537"/>
      <c r="GX14" s="537"/>
      <c r="GY14" s="537"/>
      <c r="GZ14" s="537"/>
      <c r="HA14" s="537"/>
      <c r="HB14" s="537"/>
      <c r="HC14" s="537"/>
      <c r="HD14" s="537"/>
      <c r="HE14" s="537"/>
      <c r="HF14" s="537"/>
      <c r="HG14" s="537"/>
      <c r="HH14" s="537"/>
      <c r="HI14" s="537"/>
      <c r="HJ14" s="537"/>
      <c r="HK14" s="537"/>
      <c r="HL14" s="537"/>
      <c r="HM14" s="537"/>
      <c r="HN14" s="537"/>
      <c r="HO14" s="537"/>
      <c r="HP14" s="537"/>
      <c r="HQ14" s="537"/>
      <c r="HR14" s="537"/>
      <c r="HS14" s="537"/>
      <c r="HT14" s="537"/>
      <c r="HU14" s="537"/>
      <c r="HV14" s="537"/>
      <c r="HW14" s="537"/>
      <c r="HX14" s="537"/>
      <c r="HY14" s="537"/>
      <c r="HZ14" s="537"/>
      <c r="IA14" s="537"/>
      <c r="IB14" s="537"/>
      <c r="IC14" s="537"/>
      <c r="ID14" s="537"/>
      <c r="IE14" s="537"/>
      <c r="IF14" s="537"/>
      <c r="IG14" s="537"/>
      <c r="IH14" s="537"/>
      <c r="II14" s="537"/>
      <c r="IJ14" s="537"/>
      <c r="IK14" s="537"/>
      <c r="IL14" s="537"/>
      <c r="IM14" s="537"/>
      <c r="IN14" s="537"/>
      <c r="IO14" s="537"/>
      <c r="IP14" s="537"/>
      <c r="IQ14" s="537"/>
      <c r="IR14" s="537"/>
      <c r="IS14" s="537"/>
      <c r="IT14" s="537"/>
      <c r="IU14" s="537"/>
      <c r="IV14" s="537"/>
      <c r="IW14" s="537"/>
    </row>
    <row r="15" customFormat="false" ht="12.75" hidden="false" customHeight="false" outlineLevel="0" collapsed="false">
      <c r="A15" s="544" t="s">
        <v>373</v>
      </c>
      <c r="B15" s="545" t="n">
        <f aca="false">Assumptions!$N$47</f>
        <v>20</v>
      </c>
      <c r="C15" s="546"/>
      <c r="D15" s="543" t="n">
        <f aca="false">1/Assumptions!$N$47*D9/12</f>
        <v>0.0333333333333333</v>
      </c>
      <c r="E15" s="543" t="n">
        <f aca="false">IF(AND(E6&gt;=Assumptions!$N$47,D6&lt;Assumptions!$N$47),1/Assumptions!$N$47-Depreciation!$D$15,IF(E6&lt;Assumptions!$N$47,1/Assumptions!$N$47,0))</f>
        <v>0.05</v>
      </c>
      <c r="F15" s="543" t="n">
        <f aca="false">IF(AND(F6&gt;=Assumptions!$N$47,E6&lt;Assumptions!$N$47),1/Assumptions!$N$47-Depreciation!$D$15,IF(F6&lt;Assumptions!$N$47,1/Assumptions!$N$47,0))</f>
        <v>0.05</v>
      </c>
      <c r="G15" s="543" t="n">
        <f aca="false">IF(AND(G6&gt;=Assumptions!$N$47,F6&lt;Assumptions!$N$47),1/Assumptions!$N$47-Depreciation!$D$15,IF(G6&lt;Assumptions!$N$47,1/Assumptions!$N$47,0))</f>
        <v>0.05</v>
      </c>
      <c r="H15" s="543" t="n">
        <f aca="false">IF(AND(H6&gt;=Assumptions!$N$47,G6&lt;Assumptions!$N$47),1/Assumptions!$N$47-Depreciation!$D$15,IF(H6&lt;Assumptions!$N$47,1/Assumptions!$N$47,0))</f>
        <v>0.05</v>
      </c>
      <c r="I15" s="543" t="n">
        <f aca="false">IF(AND(I6&gt;=Assumptions!$N$47,H6&lt;Assumptions!$N$47),1/Assumptions!$N$47-Depreciation!$D$15,IF(I6&lt;Assumptions!$N$47,1/Assumptions!$N$47,0))</f>
        <v>0.05</v>
      </c>
      <c r="J15" s="543" t="n">
        <f aca="false">IF(AND(J6&gt;=Assumptions!$N$47,I6&lt;Assumptions!$N$47),1/Assumptions!$N$47-Depreciation!$D$15,IF(J6&lt;Assumptions!$N$47,1/Assumptions!$N$47,0))</f>
        <v>0.05</v>
      </c>
      <c r="K15" s="543" t="n">
        <f aca="false">IF(AND(K6&gt;=Assumptions!$N$47,J6&lt;Assumptions!$N$47),1/Assumptions!$N$47-Depreciation!$D$15,IF(K6&lt;Assumptions!$N$47,1/Assumptions!$N$47,0))</f>
        <v>0.05</v>
      </c>
      <c r="L15" s="543" t="n">
        <f aca="false">IF(AND(L6&gt;=Assumptions!$N$47,K6&lt;Assumptions!$N$47),1/Assumptions!$N$47-Depreciation!$D$15,IF(L6&lt;Assumptions!$N$47,1/Assumptions!$N$47,0))</f>
        <v>0.05</v>
      </c>
      <c r="M15" s="543" t="n">
        <f aca="false">IF(AND(M6&gt;=Assumptions!$N$47,L6&lt;Assumptions!$N$47),1/Assumptions!$N$47-Depreciation!$D$15,IF(M6&lt;Assumptions!$N$47,1/Assumptions!$N$47,0))</f>
        <v>0.05</v>
      </c>
      <c r="N15" s="543" t="n">
        <f aca="false">IF(AND(N6&gt;=Assumptions!$N$47,M6&lt;Assumptions!$N$47),1/Assumptions!$N$47-Depreciation!$D$15,IF(N6&lt;Assumptions!$N$47,1/Assumptions!$N$47,0))</f>
        <v>0.05</v>
      </c>
      <c r="O15" s="543" t="n">
        <f aca="false">IF(AND(O6&gt;=Assumptions!$N$47,N6&lt;Assumptions!$N$47),1/Assumptions!$N$47-Depreciation!$D$15,IF(O6&lt;Assumptions!$N$47,1/Assumptions!$N$47,0))</f>
        <v>0.05</v>
      </c>
      <c r="P15" s="543" t="n">
        <f aca="false">IF(AND(P6&gt;=Assumptions!$N$47,O6&lt;Assumptions!$N$47),1/Assumptions!$N$47-Depreciation!$D$15,IF(P6&lt;Assumptions!$N$47,1/Assumptions!$N$47,0))</f>
        <v>0.05</v>
      </c>
      <c r="Q15" s="543" t="n">
        <f aca="false">IF(AND(Q6&gt;=Assumptions!$N$47,P6&lt;Assumptions!$N$47),1/Assumptions!$N$47-Depreciation!$D$15,IF(Q6&lt;Assumptions!$N$47,1/Assumptions!$N$47,0))</f>
        <v>0.05</v>
      </c>
      <c r="R15" s="543" t="n">
        <f aca="false">IF(AND(R6&gt;=Assumptions!$N$47,Q6&lt;Assumptions!$N$47),1/Assumptions!$N$47-Depreciation!$D$15,IF(R6&lt;Assumptions!$N$47,1/Assumptions!$N$47,0))</f>
        <v>0.05</v>
      </c>
      <c r="S15" s="543" t="n">
        <f aca="false">IF(AND(S6&gt;=Assumptions!$N$47,R6&lt;Assumptions!$N$47),1/Assumptions!$N$47-Depreciation!$D$15,IF(S6&lt;Assumptions!$N$47,1/Assumptions!$N$47,0))</f>
        <v>0.05</v>
      </c>
      <c r="T15" s="543" t="n">
        <f aca="false">IF(AND(T6&gt;=Assumptions!$N$47,S6&lt;Assumptions!$N$47),1/Assumptions!$N$47-Depreciation!$D$15,IF(T6&lt;Assumptions!$N$47,1/Assumptions!$N$47,0))</f>
        <v>0.05</v>
      </c>
      <c r="U15" s="543" t="n">
        <f aca="false">IF(AND(U6&gt;=Assumptions!$N$47,T6&lt;Assumptions!$N$47),1/Assumptions!$N$47-Depreciation!$D$15,IF(U6&lt;Assumptions!$N$47,1/Assumptions!$N$47,0))</f>
        <v>0.05</v>
      </c>
      <c r="V15" s="543" t="n">
        <f aca="false">IF(AND(V6&gt;=Assumptions!$N$47,U6&lt;Assumptions!$N$47),1/Assumptions!$N$47-Depreciation!$D$15,IF(V6&lt;Assumptions!$N$47,1/Assumptions!$N$47,0))</f>
        <v>0.05</v>
      </c>
      <c r="W15" s="543" t="n">
        <f aca="false">IF(AND(W6&gt;=Assumptions!$N$47,V6&lt;Assumptions!$N$47),1/Assumptions!$N$47-Depreciation!$D$15,IF(W6&lt;Assumptions!$N$47,1/Assumptions!$N$47,0))</f>
        <v>0.05</v>
      </c>
      <c r="X15" s="543" t="n">
        <f aca="false">IF(AND(X6&gt;=Assumptions!$N$47,W6&lt;Assumptions!$N$47),1/Assumptions!$N$47-Depreciation!$D$15,IF(X6&lt;Assumptions!$N$47,1/Assumptions!$N$47,0))</f>
        <v>0.0166666666666667</v>
      </c>
      <c r="Y15" s="543" t="n">
        <f aca="false">IF(AND(Y6&gt;=Assumptions!$N$47,X6&lt;Assumptions!$N$47),1/Assumptions!$N$47-Depreciation!$D$15,IF(Y6&lt;Assumptions!$N$47,1/Assumptions!$N$47,0))</f>
        <v>0</v>
      </c>
      <c r="Z15" s="543" t="n">
        <f aca="false">IF(AND(Z6&gt;=Assumptions!$N$47,Y6&lt;Assumptions!$N$47),1/Assumptions!$N$47-Depreciation!$D$15,IF(Z6&lt;Assumptions!$N$47,1/Assumptions!$N$47,0))</f>
        <v>0</v>
      </c>
      <c r="AA15" s="543" t="n">
        <f aca="false">IF(AND(AA6&gt;=Assumptions!$N$47,Z6&lt;Assumptions!$N$47),1/Assumptions!$N$47-Depreciation!$D$15,IF(AA6&lt;Assumptions!$N$47,1/Assumptions!$N$47,0))</f>
        <v>0</v>
      </c>
      <c r="AB15" s="543" t="n">
        <f aca="false">IF(AND(AB6&gt;=Assumptions!$N$47,AA6&lt;Assumptions!$N$47),1/Assumptions!$N$47-Depreciation!$D$15,IF(AB6&lt;Assumptions!$N$47,1/Assumptions!$N$47,0))</f>
        <v>0</v>
      </c>
      <c r="AC15" s="543" t="n">
        <f aca="false">IF(AND(AC6&gt;=Assumptions!$N$47,AB6&lt;Assumptions!$N$47),1/Assumptions!$N$47-Depreciation!$D$15,IF(AC6&lt;Assumptions!$N$47,1/Assumptions!$N$47,0))</f>
        <v>0</v>
      </c>
      <c r="AD15" s="543" t="n">
        <f aca="false">IF(AND(AD6&gt;=Assumptions!$N$47,AC6&lt;Assumptions!$N$47),1/Assumptions!$N$47-Depreciation!$D$15,IF(AD6&lt;Assumptions!$N$47,1/Assumptions!$N$47,0))</f>
        <v>0</v>
      </c>
      <c r="AE15" s="543" t="n">
        <f aca="false">IF(AND(AE6&gt;=Assumptions!$N$47,AD6&lt;Assumptions!$N$47),1/Assumptions!$N$47-Depreciation!$D$15,IF(AE6&lt;Assumptions!$N$47,1/Assumptions!$N$47,0))</f>
        <v>0</v>
      </c>
      <c r="AF15" s="543" t="n">
        <f aca="false">IF(AND(AF6&gt;=Assumptions!$N$47,AE6&lt;Assumptions!$N$47),1/Assumptions!$N$47-Depreciation!$D$15,IF(AF6&lt;Assumptions!$N$47,1/Assumptions!$N$47,0))</f>
        <v>0</v>
      </c>
      <c r="AG15" s="543" t="n">
        <f aca="false">IF(AND(AG6&gt;=Assumptions!$N$47,AF6&lt;Assumptions!$N$47),1/Assumptions!$N$47-Depreciation!$D$15,IF(AG6&lt;Assumptions!$N$47,1/Assumptions!$N$47,0))</f>
        <v>0</v>
      </c>
      <c r="AH15" s="543" t="n">
        <f aca="false">IF(AND(AH6&gt;=Assumptions!$N$47,AG6&lt;Assumptions!$N$47),1/Assumptions!$N$47-Depreciation!$D$15,IF(AH6&lt;Assumptions!$N$47,1/Assumptions!$N$47,0))</f>
        <v>0</v>
      </c>
      <c r="AI15" s="547"/>
      <c r="AJ15" s="547"/>
      <c r="AK15" s="547"/>
      <c r="AL15" s="547"/>
      <c r="AM15" s="547"/>
      <c r="AN15" s="547"/>
      <c r="AO15" s="547"/>
      <c r="AP15" s="547"/>
      <c r="AQ15" s="547"/>
      <c r="AR15" s="547"/>
      <c r="AS15" s="547"/>
      <c r="AT15" s="547"/>
      <c r="AU15" s="547"/>
      <c r="AV15" s="547"/>
      <c r="AW15" s="547"/>
      <c r="AX15" s="547"/>
      <c r="AY15" s="547"/>
      <c r="AZ15" s="547"/>
      <c r="BA15" s="547"/>
      <c r="BB15" s="547"/>
      <c r="BC15" s="547"/>
      <c r="BD15" s="547"/>
      <c r="BE15" s="547"/>
      <c r="BF15" s="547"/>
      <c r="BG15" s="547"/>
      <c r="BH15" s="547"/>
      <c r="BI15" s="547"/>
      <c r="BJ15" s="547"/>
      <c r="BK15" s="547"/>
      <c r="BL15" s="547"/>
      <c r="BM15" s="547"/>
      <c r="BN15" s="547"/>
      <c r="BO15" s="547"/>
      <c r="BP15" s="547"/>
      <c r="BQ15" s="547"/>
      <c r="BR15" s="547"/>
      <c r="BS15" s="547"/>
      <c r="BT15" s="547"/>
      <c r="BU15" s="547"/>
      <c r="BV15" s="547"/>
      <c r="BW15" s="547"/>
      <c r="BX15" s="547"/>
      <c r="BY15" s="547"/>
      <c r="BZ15" s="547"/>
      <c r="CA15" s="547"/>
      <c r="CB15" s="547"/>
      <c r="CC15" s="547"/>
      <c r="CD15" s="547"/>
      <c r="CE15" s="547"/>
      <c r="CF15" s="547"/>
      <c r="CG15" s="547"/>
      <c r="CH15" s="547"/>
      <c r="CI15" s="547"/>
      <c r="CJ15" s="547"/>
      <c r="CK15" s="547"/>
      <c r="CL15" s="547"/>
      <c r="CM15" s="547"/>
      <c r="CN15" s="547"/>
      <c r="CO15" s="547"/>
      <c r="CP15" s="547"/>
      <c r="CQ15" s="547"/>
      <c r="CR15" s="547"/>
      <c r="CS15" s="547"/>
      <c r="CT15" s="547"/>
      <c r="CU15" s="547"/>
      <c r="CV15" s="547"/>
      <c r="CW15" s="547"/>
      <c r="CX15" s="547"/>
      <c r="CY15" s="547"/>
      <c r="CZ15" s="547"/>
      <c r="DA15" s="547"/>
      <c r="DB15" s="547"/>
      <c r="DC15" s="547"/>
      <c r="DD15" s="547"/>
      <c r="DE15" s="547"/>
      <c r="DF15" s="547"/>
      <c r="DG15" s="547"/>
      <c r="DH15" s="547"/>
      <c r="DI15" s="547"/>
      <c r="DJ15" s="547"/>
      <c r="DK15" s="547"/>
      <c r="DL15" s="547"/>
      <c r="DM15" s="547"/>
      <c r="DN15" s="547"/>
      <c r="DO15" s="547"/>
      <c r="DP15" s="547"/>
      <c r="DQ15" s="547"/>
      <c r="DR15" s="547"/>
      <c r="DS15" s="547"/>
      <c r="DT15" s="547"/>
      <c r="DU15" s="547"/>
      <c r="DV15" s="547"/>
      <c r="DW15" s="547"/>
      <c r="DX15" s="547"/>
      <c r="DY15" s="547"/>
      <c r="DZ15" s="547"/>
      <c r="EA15" s="547"/>
      <c r="EB15" s="547"/>
      <c r="EC15" s="547"/>
      <c r="ED15" s="547"/>
      <c r="EE15" s="547"/>
      <c r="EF15" s="547"/>
      <c r="EG15" s="547"/>
      <c r="EH15" s="547"/>
      <c r="EI15" s="547"/>
      <c r="EJ15" s="547"/>
      <c r="EK15" s="547"/>
      <c r="EL15" s="547"/>
      <c r="EM15" s="547"/>
      <c r="EN15" s="547"/>
      <c r="EO15" s="547"/>
      <c r="EP15" s="547"/>
      <c r="EQ15" s="547"/>
      <c r="ER15" s="547"/>
      <c r="ES15" s="547"/>
      <c r="ET15" s="547"/>
      <c r="EU15" s="547"/>
      <c r="EV15" s="547"/>
      <c r="EW15" s="547"/>
      <c r="EX15" s="547"/>
      <c r="EY15" s="547"/>
      <c r="EZ15" s="547"/>
      <c r="FA15" s="547"/>
      <c r="FB15" s="547"/>
      <c r="FC15" s="547"/>
      <c r="FD15" s="547"/>
      <c r="FE15" s="547"/>
      <c r="FF15" s="547"/>
      <c r="FG15" s="547"/>
      <c r="FH15" s="547"/>
      <c r="FI15" s="547"/>
      <c r="FJ15" s="547"/>
      <c r="FK15" s="547"/>
      <c r="FL15" s="547"/>
      <c r="FM15" s="547"/>
      <c r="FN15" s="547"/>
      <c r="FO15" s="547"/>
      <c r="FP15" s="547"/>
      <c r="FQ15" s="547"/>
      <c r="FR15" s="547"/>
      <c r="FS15" s="547"/>
      <c r="FT15" s="547"/>
      <c r="FU15" s="547"/>
      <c r="FV15" s="547"/>
      <c r="FW15" s="547"/>
      <c r="FX15" s="547"/>
      <c r="FY15" s="547"/>
      <c r="FZ15" s="547"/>
      <c r="GA15" s="547"/>
      <c r="GB15" s="547"/>
      <c r="GC15" s="547"/>
      <c r="GD15" s="547"/>
      <c r="GE15" s="547"/>
      <c r="GF15" s="547"/>
      <c r="GG15" s="547"/>
      <c r="GH15" s="547"/>
      <c r="GI15" s="547"/>
      <c r="GJ15" s="547"/>
      <c r="GK15" s="547"/>
      <c r="GL15" s="547"/>
      <c r="GM15" s="547"/>
      <c r="GN15" s="547"/>
      <c r="GO15" s="547"/>
      <c r="GP15" s="547"/>
      <c r="GQ15" s="547"/>
      <c r="GR15" s="547"/>
      <c r="GS15" s="547"/>
      <c r="GT15" s="547"/>
      <c r="GU15" s="547"/>
      <c r="GV15" s="547"/>
      <c r="GW15" s="547"/>
      <c r="GX15" s="547"/>
      <c r="GY15" s="547"/>
      <c r="GZ15" s="547"/>
      <c r="HA15" s="547"/>
      <c r="HB15" s="547"/>
      <c r="HC15" s="547"/>
      <c r="HD15" s="547"/>
      <c r="HE15" s="547"/>
      <c r="HF15" s="547"/>
      <c r="HG15" s="547"/>
      <c r="HH15" s="547"/>
      <c r="HI15" s="547"/>
      <c r="HJ15" s="547"/>
      <c r="HK15" s="547"/>
      <c r="HL15" s="547"/>
      <c r="HM15" s="547"/>
      <c r="HN15" s="547"/>
      <c r="HO15" s="547"/>
      <c r="HP15" s="547"/>
      <c r="HQ15" s="547"/>
      <c r="HR15" s="547"/>
      <c r="HS15" s="547"/>
      <c r="HT15" s="547"/>
      <c r="HU15" s="547"/>
      <c r="HV15" s="547"/>
      <c r="HW15" s="547"/>
      <c r="HX15" s="547"/>
      <c r="HY15" s="547"/>
      <c r="HZ15" s="547"/>
      <c r="IA15" s="547"/>
      <c r="IB15" s="547"/>
      <c r="IC15" s="547"/>
      <c r="ID15" s="547"/>
      <c r="IE15" s="547"/>
      <c r="IF15" s="547"/>
      <c r="IG15" s="547"/>
      <c r="IH15" s="547"/>
      <c r="II15" s="547"/>
      <c r="IJ15" s="547"/>
      <c r="IK15" s="547"/>
      <c r="IL15" s="547"/>
      <c r="IM15" s="547"/>
      <c r="IN15" s="547"/>
      <c r="IO15" s="547"/>
      <c r="IP15" s="547"/>
      <c r="IQ15" s="547"/>
      <c r="IR15" s="547"/>
      <c r="IS15" s="547"/>
      <c r="IT15" s="547"/>
      <c r="IU15" s="547"/>
      <c r="IV15" s="547"/>
      <c r="IW15" s="547"/>
    </row>
    <row r="16" customFormat="false" ht="12.75" hidden="false" customHeight="false" outlineLevel="0" collapsed="false">
      <c r="B16" s="548"/>
      <c r="D16" s="539"/>
      <c r="AI16" s="537"/>
      <c r="AJ16" s="537"/>
      <c r="AK16" s="537"/>
      <c r="AL16" s="537"/>
      <c r="AM16" s="537"/>
      <c r="AN16" s="537"/>
      <c r="AO16" s="537"/>
      <c r="AP16" s="537"/>
      <c r="AQ16" s="537"/>
      <c r="AR16" s="537"/>
      <c r="AS16" s="537"/>
      <c r="AT16" s="537"/>
      <c r="AU16" s="537"/>
      <c r="AV16" s="537"/>
      <c r="AW16" s="537"/>
      <c r="AX16" s="537"/>
      <c r="AY16" s="537"/>
      <c r="AZ16" s="537"/>
      <c r="BA16" s="537"/>
      <c r="BB16" s="537"/>
      <c r="BC16" s="537"/>
      <c r="BD16" s="537"/>
      <c r="BE16" s="537"/>
      <c r="BF16" s="537"/>
      <c r="BG16" s="537"/>
      <c r="BH16" s="537"/>
      <c r="BI16" s="537"/>
      <c r="BJ16" s="537"/>
      <c r="BK16" s="537"/>
      <c r="BL16" s="537"/>
      <c r="BM16" s="537"/>
      <c r="BN16" s="537"/>
      <c r="BO16" s="537"/>
      <c r="BP16" s="537"/>
      <c r="BQ16" s="537"/>
      <c r="BR16" s="537"/>
      <c r="BS16" s="537"/>
      <c r="BT16" s="537"/>
      <c r="BU16" s="537"/>
      <c r="BV16" s="537"/>
      <c r="BW16" s="537"/>
      <c r="BX16" s="537"/>
      <c r="BY16" s="537"/>
      <c r="BZ16" s="537"/>
      <c r="CA16" s="537"/>
      <c r="CB16" s="537"/>
      <c r="CC16" s="537"/>
      <c r="CD16" s="537"/>
      <c r="CE16" s="537"/>
      <c r="CF16" s="537"/>
      <c r="CG16" s="537"/>
      <c r="CH16" s="537"/>
      <c r="CI16" s="537"/>
      <c r="CJ16" s="537"/>
      <c r="CK16" s="537"/>
      <c r="CL16" s="537"/>
      <c r="CM16" s="537"/>
      <c r="CN16" s="537"/>
      <c r="CO16" s="537"/>
      <c r="CP16" s="537"/>
      <c r="CQ16" s="537"/>
      <c r="CR16" s="537"/>
      <c r="CS16" s="537"/>
      <c r="CT16" s="537"/>
      <c r="CU16" s="537"/>
      <c r="CV16" s="537"/>
      <c r="CW16" s="537"/>
      <c r="CX16" s="537"/>
      <c r="CY16" s="537"/>
      <c r="CZ16" s="537"/>
      <c r="DA16" s="537"/>
      <c r="DB16" s="537"/>
      <c r="DC16" s="537"/>
      <c r="DD16" s="537"/>
      <c r="DE16" s="537"/>
      <c r="DF16" s="537"/>
      <c r="DG16" s="537"/>
      <c r="DH16" s="537"/>
      <c r="DI16" s="537"/>
      <c r="DJ16" s="537"/>
      <c r="DK16" s="537"/>
      <c r="DL16" s="537"/>
      <c r="DM16" s="537"/>
      <c r="DN16" s="537"/>
      <c r="DO16" s="537"/>
      <c r="DP16" s="537"/>
      <c r="DQ16" s="537"/>
      <c r="DR16" s="537"/>
      <c r="DS16" s="537"/>
      <c r="DT16" s="537"/>
      <c r="DU16" s="537"/>
      <c r="DV16" s="537"/>
      <c r="DW16" s="537"/>
      <c r="DX16" s="537"/>
      <c r="DY16" s="537"/>
      <c r="DZ16" s="537"/>
      <c r="EA16" s="537"/>
      <c r="EB16" s="537"/>
      <c r="EC16" s="537"/>
      <c r="ED16" s="537"/>
      <c r="EE16" s="537"/>
      <c r="EF16" s="537"/>
      <c r="EG16" s="537"/>
      <c r="EH16" s="537"/>
      <c r="EI16" s="537"/>
      <c r="EJ16" s="537"/>
      <c r="EK16" s="537"/>
      <c r="EL16" s="537"/>
      <c r="EM16" s="537"/>
      <c r="EN16" s="537"/>
      <c r="EO16" s="537"/>
      <c r="EP16" s="537"/>
      <c r="EQ16" s="537"/>
      <c r="ER16" s="537"/>
      <c r="ES16" s="537"/>
      <c r="ET16" s="537"/>
      <c r="EU16" s="537"/>
      <c r="EV16" s="537"/>
      <c r="EW16" s="537"/>
      <c r="EX16" s="537"/>
      <c r="EY16" s="537"/>
      <c r="EZ16" s="537"/>
      <c r="FA16" s="537"/>
      <c r="FB16" s="537"/>
      <c r="FC16" s="537"/>
      <c r="FD16" s="537"/>
      <c r="FE16" s="537"/>
      <c r="FF16" s="537"/>
      <c r="FG16" s="537"/>
      <c r="FH16" s="537"/>
      <c r="FI16" s="537"/>
      <c r="FJ16" s="537"/>
      <c r="FK16" s="537"/>
      <c r="FL16" s="537"/>
      <c r="FM16" s="537"/>
      <c r="FN16" s="537"/>
      <c r="FO16" s="537"/>
      <c r="FP16" s="537"/>
      <c r="FQ16" s="537"/>
      <c r="FR16" s="537"/>
      <c r="FS16" s="537"/>
      <c r="FT16" s="537"/>
      <c r="FU16" s="537"/>
      <c r="FV16" s="537"/>
      <c r="FW16" s="537"/>
      <c r="FX16" s="537"/>
      <c r="FY16" s="537"/>
      <c r="FZ16" s="537"/>
      <c r="GA16" s="537"/>
      <c r="GB16" s="537"/>
      <c r="GC16" s="537"/>
      <c r="GD16" s="537"/>
      <c r="GE16" s="537"/>
      <c r="GF16" s="537"/>
      <c r="GG16" s="537"/>
      <c r="GH16" s="537"/>
      <c r="GI16" s="537"/>
      <c r="GJ16" s="537"/>
      <c r="GK16" s="537"/>
      <c r="GL16" s="537"/>
      <c r="GM16" s="537"/>
      <c r="GN16" s="537"/>
      <c r="GO16" s="537"/>
      <c r="GP16" s="537"/>
      <c r="GQ16" s="537"/>
      <c r="GR16" s="537"/>
      <c r="GS16" s="537"/>
      <c r="GT16" s="537"/>
      <c r="GU16" s="537"/>
      <c r="GV16" s="537"/>
      <c r="GW16" s="537"/>
      <c r="GX16" s="537"/>
      <c r="GY16" s="537"/>
      <c r="GZ16" s="537"/>
      <c r="HA16" s="537"/>
      <c r="HB16" s="537"/>
      <c r="HC16" s="537"/>
      <c r="HD16" s="537"/>
      <c r="HE16" s="537"/>
      <c r="HF16" s="537"/>
      <c r="HG16" s="537"/>
      <c r="HH16" s="537"/>
      <c r="HI16" s="537"/>
      <c r="HJ16" s="537"/>
      <c r="HK16" s="537"/>
      <c r="HL16" s="537"/>
      <c r="HM16" s="537"/>
      <c r="HN16" s="537"/>
      <c r="HO16" s="537"/>
      <c r="HP16" s="537"/>
      <c r="HQ16" s="537"/>
      <c r="HR16" s="537"/>
      <c r="HS16" s="537"/>
      <c r="HT16" s="537"/>
      <c r="HU16" s="537"/>
      <c r="HV16" s="537"/>
      <c r="HW16" s="537"/>
      <c r="HX16" s="537"/>
      <c r="HY16" s="537"/>
      <c r="HZ16" s="537"/>
      <c r="IA16" s="537"/>
      <c r="IB16" s="537"/>
      <c r="IC16" s="537"/>
      <c r="ID16" s="537"/>
      <c r="IE16" s="537"/>
      <c r="IF16" s="537"/>
      <c r="IG16" s="537"/>
      <c r="IH16" s="537"/>
      <c r="II16" s="537"/>
      <c r="IJ16" s="537"/>
      <c r="IK16" s="537"/>
      <c r="IL16" s="537"/>
      <c r="IM16" s="537"/>
      <c r="IN16" s="537"/>
      <c r="IO16" s="537"/>
      <c r="IP16" s="537"/>
      <c r="IQ16" s="537"/>
      <c r="IR16" s="537"/>
      <c r="IS16" s="537"/>
      <c r="IT16" s="537"/>
      <c r="IU16" s="537"/>
      <c r="IV16" s="537"/>
      <c r="IW16" s="537"/>
    </row>
    <row r="17" customFormat="false" ht="12.75" hidden="false" customHeight="false" outlineLevel="0" collapsed="false">
      <c r="A17" s="540" t="s">
        <v>374</v>
      </c>
      <c r="B17" s="549" t="n">
        <f aca="false">Assumptions!C44-Assumptions!C39-Assumptions!C40</f>
        <v>109577</v>
      </c>
      <c r="C17" s="550"/>
      <c r="D17" s="549" t="n">
        <f aca="false">$B$17*D14</f>
        <v>5478.85</v>
      </c>
      <c r="E17" s="549" t="n">
        <f aca="false">$B$17*E14</f>
        <v>10409.815</v>
      </c>
      <c r="F17" s="549" t="n">
        <f aca="false">$B$17*F14</f>
        <v>9368.8335</v>
      </c>
      <c r="G17" s="549" t="n">
        <f aca="false">$B$17*G14</f>
        <v>8437.429</v>
      </c>
      <c r="H17" s="549" t="n">
        <f aca="false">$B$17*H14</f>
        <v>7593.6861</v>
      </c>
      <c r="I17" s="549" t="n">
        <f aca="false">$B$17*I14</f>
        <v>6826.6471</v>
      </c>
      <c r="J17" s="549" t="n">
        <f aca="false">$B$17*J14</f>
        <v>6465.043</v>
      </c>
      <c r="K17" s="549" t="n">
        <f aca="false">$B$17*K14</f>
        <v>6476.0007</v>
      </c>
      <c r="L17" s="549" t="n">
        <f aca="false">$B$17*L14</f>
        <v>6465.043</v>
      </c>
      <c r="M17" s="549" t="n">
        <f aca="false">$B$17*M14</f>
        <v>6476.0007</v>
      </c>
      <c r="N17" s="549" t="n">
        <f aca="false">$B$17*N14</f>
        <v>6465.043</v>
      </c>
      <c r="O17" s="549" t="n">
        <f aca="false">$B$17*O14</f>
        <v>6476.0007</v>
      </c>
      <c r="P17" s="549" t="n">
        <f aca="false">$B$17*P14</f>
        <v>6465.043</v>
      </c>
      <c r="Q17" s="549" t="n">
        <f aca="false">$B$17*Q14</f>
        <v>6476.0007</v>
      </c>
      <c r="R17" s="549" t="n">
        <f aca="false">$B$17*R14</f>
        <v>6465.043</v>
      </c>
      <c r="S17" s="549" t="n">
        <f aca="false">$B$17*S14</f>
        <v>3232.5215</v>
      </c>
      <c r="T17" s="549" t="n">
        <f aca="false">$B$17*T14</f>
        <v>0</v>
      </c>
      <c r="U17" s="549" t="n">
        <f aca="false">$B$17*U14</f>
        <v>0</v>
      </c>
      <c r="V17" s="549" t="n">
        <f aca="false">$B$17*V14</f>
        <v>0</v>
      </c>
      <c r="W17" s="549" t="n">
        <f aca="false">$B$17*W14</f>
        <v>0</v>
      </c>
      <c r="X17" s="549" t="n">
        <f aca="false">$B$17*X14</f>
        <v>0</v>
      </c>
      <c r="Y17" s="549" t="n">
        <f aca="false">$B$17*Y14</f>
        <v>0</v>
      </c>
      <c r="Z17" s="549" t="n">
        <f aca="false">$B$17*Z14</f>
        <v>0</v>
      </c>
      <c r="AA17" s="549" t="n">
        <f aca="false">$B$17*AA14</f>
        <v>0</v>
      </c>
      <c r="AB17" s="549" t="n">
        <f aca="false">$B$17*AB14</f>
        <v>0</v>
      </c>
      <c r="AC17" s="549" t="n">
        <f aca="false">$B$17*AC14</f>
        <v>0</v>
      </c>
      <c r="AD17" s="549" t="n">
        <f aca="false">$B$17*AD14</f>
        <v>0</v>
      </c>
      <c r="AE17" s="549" t="n">
        <f aca="false">$B$17*AE14</f>
        <v>0</v>
      </c>
      <c r="AF17" s="549" t="n">
        <f aca="false">$B$17*AF14</f>
        <v>0</v>
      </c>
      <c r="AG17" s="549" t="n">
        <f aca="false">$B$17*AG14</f>
        <v>0</v>
      </c>
      <c r="AH17" s="549" t="n">
        <f aca="false">$B$17*AH14</f>
        <v>0</v>
      </c>
      <c r="AI17" s="537"/>
      <c r="AJ17" s="537"/>
      <c r="AK17" s="537"/>
      <c r="AL17" s="537"/>
      <c r="AM17" s="537"/>
      <c r="AN17" s="537"/>
      <c r="AO17" s="537"/>
      <c r="AP17" s="537"/>
      <c r="AQ17" s="537"/>
      <c r="AR17" s="537"/>
      <c r="AS17" s="537"/>
      <c r="AT17" s="537"/>
      <c r="AU17" s="537"/>
      <c r="AV17" s="537"/>
      <c r="AW17" s="537"/>
      <c r="AX17" s="537"/>
      <c r="AY17" s="537"/>
      <c r="AZ17" s="537"/>
      <c r="BA17" s="537"/>
      <c r="BB17" s="537"/>
      <c r="BC17" s="537"/>
      <c r="BD17" s="537"/>
      <c r="BE17" s="537"/>
      <c r="BF17" s="537"/>
      <c r="BG17" s="537"/>
      <c r="BH17" s="537"/>
      <c r="BI17" s="537"/>
      <c r="BJ17" s="537"/>
      <c r="BK17" s="537"/>
      <c r="BL17" s="537"/>
      <c r="BM17" s="537"/>
      <c r="BN17" s="537"/>
      <c r="BO17" s="537"/>
      <c r="BP17" s="537"/>
      <c r="BQ17" s="537"/>
      <c r="BR17" s="537"/>
      <c r="BS17" s="537"/>
      <c r="BT17" s="537"/>
      <c r="BU17" s="537"/>
      <c r="BV17" s="537"/>
      <c r="BW17" s="537"/>
      <c r="BX17" s="537"/>
      <c r="BY17" s="537"/>
      <c r="BZ17" s="537"/>
      <c r="CA17" s="537"/>
      <c r="CB17" s="537"/>
      <c r="CC17" s="537"/>
      <c r="CD17" s="537"/>
      <c r="CE17" s="537"/>
      <c r="CF17" s="537"/>
      <c r="CG17" s="537"/>
      <c r="CH17" s="537"/>
      <c r="CI17" s="537"/>
      <c r="CJ17" s="537"/>
      <c r="CK17" s="537"/>
      <c r="CL17" s="537"/>
      <c r="CM17" s="537"/>
      <c r="CN17" s="537"/>
      <c r="CO17" s="537"/>
      <c r="CP17" s="537"/>
      <c r="CQ17" s="537"/>
      <c r="CR17" s="537"/>
      <c r="CS17" s="537"/>
      <c r="CT17" s="537"/>
      <c r="CU17" s="537"/>
      <c r="CV17" s="537"/>
      <c r="CW17" s="537"/>
      <c r="CX17" s="537"/>
      <c r="CY17" s="537"/>
      <c r="CZ17" s="537"/>
      <c r="DA17" s="537"/>
      <c r="DB17" s="537"/>
      <c r="DC17" s="537"/>
      <c r="DD17" s="537"/>
      <c r="DE17" s="537"/>
      <c r="DF17" s="537"/>
      <c r="DG17" s="537"/>
      <c r="DH17" s="537"/>
      <c r="DI17" s="537"/>
      <c r="DJ17" s="537"/>
      <c r="DK17" s="537"/>
      <c r="DL17" s="537"/>
      <c r="DM17" s="537"/>
      <c r="DN17" s="537"/>
      <c r="DO17" s="537"/>
      <c r="DP17" s="537"/>
      <c r="DQ17" s="537"/>
      <c r="DR17" s="537"/>
      <c r="DS17" s="537"/>
      <c r="DT17" s="537"/>
      <c r="DU17" s="537"/>
      <c r="DV17" s="537"/>
      <c r="DW17" s="537"/>
      <c r="DX17" s="537"/>
      <c r="DY17" s="537"/>
      <c r="DZ17" s="537"/>
      <c r="EA17" s="537"/>
      <c r="EB17" s="537"/>
      <c r="EC17" s="537"/>
      <c r="ED17" s="537"/>
      <c r="EE17" s="537"/>
      <c r="EF17" s="537"/>
      <c r="EG17" s="537"/>
      <c r="EH17" s="537"/>
      <c r="EI17" s="537"/>
      <c r="EJ17" s="537"/>
      <c r="EK17" s="537"/>
      <c r="EL17" s="537"/>
      <c r="EM17" s="537"/>
      <c r="EN17" s="537"/>
      <c r="EO17" s="537"/>
      <c r="EP17" s="537"/>
      <c r="EQ17" s="537"/>
      <c r="ER17" s="537"/>
      <c r="ES17" s="537"/>
      <c r="ET17" s="537"/>
      <c r="EU17" s="537"/>
      <c r="EV17" s="537"/>
      <c r="EW17" s="537"/>
      <c r="EX17" s="537"/>
      <c r="EY17" s="537"/>
      <c r="EZ17" s="537"/>
      <c r="FA17" s="537"/>
      <c r="FB17" s="537"/>
      <c r="FC17" s="537"/>
      <c r="FD17" s="537"/>
      <c r="FE17" s="537"/>
      <c r="FF17" s="537"/>
      <c r="FG17" s="537"/>
      <c r="FH17" s="537"/>
      <c r="FI17" s="537"/>
      <c r="FJ17" s="537"/>
      <c r="FK17" s="537"/>
      <c r="FL17" s="537"/>
      <c r="FM17" s="537"/>
      <c r="FN17" s="537"/>
      <c r="FO17" s="537"/>
      <c r="FP17" s="537"/>
      <c r="FQ17" s="537"/>
      <c r="FR17" s="537"/>
      <c r="FS17" s="537"/>
      <c r="FT17" s="537"/>
      <c r="FU17" s="537"/>
      <c r="FV17" s="537"/>
      <c r="FW17" s="537"/>
      <c r="FX17" s="537"/>
      <c r="FY17" s="537"/>
      <c r="FZ17" s="537"/>
      <c r="GA17" s="537"/>
      <c r="GB17" s="537"/>
      <c r="GC17" s="537"/>
      <c r="GD17" s="537"/>
      <c r="GE17" s="537"/>
      <c r="GF17" s="537"/>
      <c r="GG17" s="537"/>
      <c r="GH17" s="537"/>
      <c r="GI17" s="537"/>
      <c r="GJ17" s="537"/>
      <c r="GK17" s="537"/>
      <c r="GL17" s="537"/>
      <c r="GM17" s="537"/>
      <c r="GN17" s="537"/>
      <c r="GO17" s="537"/>
      <c r="GP17" s="537"/>
      <c r="GQ17" s="537"/>
      <c r="GR17" s="537"/>
      <c r="GS17" s="537"/>
      <c r="GT17" s="537"/>
      <c r="GU17" s="537"/>
      <c r="GV17" s="537"/>
      <c r="GW17" s="537"/>
      <c r="GX17" s="537"/>
      <c r="GY17" s="537"/>
      <c r="GZ17" s="537"/>
      <c r="HA17" s="537"/>
      <c r="HB17" s="537"/>
      <c r="HC17" s="537"/>
      <c r="HD17" s="537"/>
      <c r="HE17" s="537"/>
      <c r="HF17" s="537"/>
      <c r="HG17" s="537"/>
      <c r="HH17" s="537"/>
      <c r="HI17" s="537"/>
      <c r="HJ17" s="537"/>
      <c r="HK17" s="537"/>
      <c r="HL17" s="537"/>
      <c r="HM17" s="537"/>
      <c r="HN17" s="537"/>
      <c r="HO17" s="537"/>
      <c r="HP17" s="537"/>
      <c r="HQ17" s="537"/>
      <c r="HR17" s="537"/>
      <c r="HS17" s="537"/>
      <c r="HT17" s="537"/>
      <c r="HU17" s="537"/>
      <c r="HV17" s="537"/>
      <c r="HW17" s="537"/>
      <c r="HX17" s="537"/>
      <c r="HY17" s="537"/>
      <c r="HZ17" s="537"/>
      <c r="IA17" s="537"/>
      <c r="IB17" s="537"/>
      <c r="IC17" s="537"/>
      <c r="ID17" s="537"/>
      <c r="IE17" s="537"/>
      <c r="IF17" s="537"/>
      <c r="IG17" s="537"/>
      <c r="IH17" s="537"/>
      <c r="II17" s="537"/>
      <c r="IJ17" s="537"/>
      <c r="IK17" s="537"/>
      <c r="IL17" s="537"/>
      <c r="IM17" s="537"/>
      <c r="IN17" s="537"/>
      <c r="IO17" s="537"/>
      <c r="IP17" s="537"/>
      <c r="IQ17" s="537"/>
      <c r="IR17" s="537"/>
      <c r="IS17" s="537"/>
      <c r="IT17" s="537"/>
      <c r="IU17" s="537"/>
      <c r="IV17" s="537"/>
      <c r="IW17" s="537"/>
    </row>
    <row r="18" customFormat="false" ht="15" hidden="false" customHeight="false" outlineLevel="0" collapsed="false">
      <c r="A18" s="544" t="s">
        <v>373</v>
      </c>
      <c r="B18" s="551" t="n">
        <f aca="false">SUM(Assumptions!C34:C36)</f>
        <v>11044</v>
      </c>
      <c r="C18" s="550"/>
      <c r="D18" s="551" t="n">
        <f aca="false">$B$18*D15</f>
        <v>368.133333333333</v>
      </c>
      <c r="E18" s="551" t="n">
        <f aca="false">$B$18*E15</f>
        <v>552.2</v>
      </c>
      <c r="F18" s="551" t="n">
        <f aca="false">$B$18*F15</f>
        <v>552.2</v>
      </c>
      <c r="G18" s="551" t="n">
        <f aca="false">$B$18*G15</f>
        <v>552.2</v>
      </c>
      <c r="H18" s="551" t="n">
        <f aca="false">$B$18*H15</f>
        <v>552.2</v>
      </c>
      <c r="I18" s="551" t="n">
        <f aca="false">$B$18*I15</f>
        <v>552.2</v>
      </c>
      <c r="J18" s="551" t="n">
        <f aca="false">$B$18*J15</f>
        <v>552.2</v>
      </c>
      <c r="K18" s="551" t="n">
        <f aca="false">$B$18*K15</f>
        <v>552.2</v>
      </c>
      <c r="L18" s="551" t="n">
        <f aca="false">$B$18*L15</f>
        <v>552.2</v>
      </c>
      <c r="M18" s="551" t="n">
        <f aca="false">$B$18*M15</f>
        <v>552.2</v>
      </c>
      <c r="N18" s="551" t="n">
        <f aca="false">$B$18*N15</f>
        <v>552.2</v>
      </c>
      <c r="O18" s="551" t="n">
        <f aca="false">$B$18*O15</f>
        <v>552.2</v>
      </c>
      <c r="P18" s="551" t="n">
        <f aca="false">$B$18*P15</f>
        <v>552.2</v>
      </c>
      <c r="Q18" s="551" t="n">
        <f aca="false">$B$18*Q15</f>
        <v>552.2</v>
      </c>
      <c r="R18" s="551" t="n">
        <f aca="false">$B$18*R15</f>
        <v>552.2</v>
      </c>
      <c r="S18" s="551" t="n">
        <f aca="false">$B$18*S15</f>
        <v>552.2</v>
      </c>
      <c r="T18" s="551" t="n">
        <f aca="false">$B$18*T15</f>
        <v>552.2</v>
      </c>
      <c r="U18" s="551" t="n">
        <f aca="false">$B$18*U15</f>
        <v>552.2</v>
      </c>
      <c r="V18" s="551" t="n">
        <f aca="false">$B$18*V15</f>
        <v>552.2</v>
      </c>
      <c r="W18" s="551" t="n">
        <f aca="false">$B$18*W15</f>
        <v>552.2</v>
      </c>
      <c r="X18" s="551" t="n">
        <f aca="false">$B$18*X15</f>
        <v>184.066666666667</v>
      </c>
      <c r="Y18" s="551" t="n">
        <f aca="false">$B$18*Y15</f>
        <v>0</v>
      </c>
      <c r="Z18" s="551" t="n">
        <f aca="false">$B$18*Z15</f>
        <v>0</v>
      </c>
      <c r="AA18" s="551" t="n">
        <f aca="false">$B$18*AA15</f>
        <v>0</v>
      </c>
      <c r="AB18" s="551" t="n">
        <f aca="false">$B$18*AB15</f>
        <v>0</v>
      </c>
      <c r="AC18" s="551" t="n">
        <f aca="false">$B$18*AC15</f>
        <v>0</v>
      </c>
      <c r="AD18" s="551" t="n">
        <f aca="false">$B$18*AD15</f>
        <v>0</v>
      </c>
      <c r="AE18" s="551" t="n">
        <f aca="false">$B$18*AE15</f>
        <v>0</v>
      </c>
      <c r="AF18" s="551" t="n">
        <f aca="false">$B$18*AF15</f>
        <v>0</v>
      </c>
      <c r="AG18" s="551" t="n">
        <f aca="false">$B$18*AG15</f>
        <v>0</v>
      </c>
      <c r="AH18" s="551" t="n">
        <f aca="false">$B$18*AH15</f>
        <v>0</v>
      </c>
      <c r="AI18" s="537"/>
      <c r="AJ18" s="537"/>
      <c r="AK18" s="537"/>
      <c r="AL18" s="537"/>
      <c r="AM18" s="537"/>
      <c r="AN18" s="537"/>
      <c r="AO18" s="537"/>
      <c r="AP18" s="537"/>
      <c r="AQ18" s="537"/>
      <c r="AR18" s="537"/>
      <c r="AS18" s="537"/>
      <c r="AT18" s="537"/>
      <c r="AU18" s="537"/>
      <c r="AV18" s="537"/>
      <c r="AW18" s="537"/>
      <c r="AX18" s="537"/>
      <c r="AY18" s="537"/>
      <c r="AZ18" s="537"/>
      <c r="BA18" s="537"/>
      <c r="BB18" s="537"/>
      <c r="BC18" s="537"/>
      <c r="BD18" s="537"/>
      <c r="BE18" s="537"/>
      <c r="BF18" s="537"/>
      <c r="BG18" s="537"/>
      <c r="BH18" s="537"/>
      <c r="BI18" s="537"/>
      <c r="BJ18" s="537"/>
      <c r="BK18" s="537"/>
      <c r="BL18" s="537"/>
      <c r="BM18" s="537"/>
      <c r="BN18" s="537"/>
      <c r="BO18" s="537"/>
      <c r="BP18" s="537"/>
      <c r="BQ18" s="537"/>
      <c r="BR18" s="537"/>
      <c r="BS18" s="537"/>
      <c r="BT18" s="537"/>
      <c r="BU18" s="537"/>
      <c r="BV18" s="537"/>
      <c r="BW18" s="537"/>
      <c r="BX18" s="537"/>
      <c r="BY18" s="537"/>
      <c r="BZ18" s="537"/>
      <c r="CA18" s="537"/>
      <c r="CB18" s="537"/>
      <c r="CC18" s="537"/>
      <c r="CD18" s="537"/>
      <c r="CE18" s="537"/>
      <c r="CF18" s="537"/>
      <c r="CG18" s="537"/>
      <c r="CH18" s="537"/>
      <c r="CI18" s="537"/>
      <c r="CJ18" s="537"/>
      <c r="CK18" s="537"/>
      <c r="CL18" s="537"/>
      <c r="CM18" s="537"/>
      <c r="CN18" s="537"/>
      <c r="CO18" s="537"/>
      <c r="CP18" s="537"/>
      <c r="CQ18" s="537"/>
      <c r="CR18" s="537"/>
      <c r="CS18" s="537"/>
      <c r="CT18" s="537"/>
      <c r="CU18" s="537"/>
      <c r="CV18" s="537"/>
      <c r="CW18" s="537"/>
      <c r="CX18" s="537"/>
      <c r="CY18" s="537"/>
      <c r="CZ18" s="537"/>
      <c r="DA18" s="537"/>
      <c r="DB18" s="537"/>
      <c r="DC18" s="537"/>
      <c r="DD18" s="537"/>
      <c r="DE18" s="537"/>
      <c r="DF18" s="537"/>
      <c r="DG18" s="537"/>
      <c r="DH18" s="537"/>
      <c r="DI18" s="537"/>
      <c r="DJ18" s="537"/>
      <c r="DK18" s="537"/>
      <c r="DL18" s="537"/>
      <c r="DM18" s="537"/>
      <c r="DN18" s="537"/>
      <c r="DO18" s="537"/>
      <c r="DP18" s="537"/>
      <c r="DQ18" s="537"/>
      <c r="DR18" s="537"/>
      <c r="DS18" s="537"/>
      <c r="DT18" s="537"/>
      <c r="DU18" s="537"/>
      <c r="DV18" s="537"/>
      <c r="DW18" s="537"/>
      <c r="DX18" s="537"/>
      <c r="DY18" s="537"/>
      <c r="DZ18" s="537"/>
      <c r="EA18" s="537"/>
      <c r="EB18" s="537"/>
      <c r="EC18" s="537"/>
      <c r="ED18" s="537"/>
      <c r="EE18" s="537"/>
      <c r="EF18" s="537"/>
      <c r="EG18" s="537"/>
      <c r="EH18" s="537"/>
      <c r="EI18" s="537"/>
      <c r="EJ18" s="537"/>
      <c r="EK18" s="537"/>
      <c r="EL18" s="537"/>
      <c r="EM18" s="537"/>
      <c r="EN18" s="537"/>
      <c r="EO18" s="537"/>
      <c r="EP18" s="537"/>
      <c r="EQ18" s="537"/>
      <c r="ER18" s="537"/>
      <c r="ES18" s="537"/>
      <c r="ET18" s="537"/>
      <c r="EU18" s="537"/>
      <c r="EV18" s="537"/>
      <c r="EW18" s="537"/>
      <c r="EX18" s="537"/>
      <c r="EY18" s="537"/>
      <c r="EZ18" s="537"/>
      <c r="FA18" s="537"/>
      <c r="FB18" s="537"/>
      <c r="FC18" s="537"/>
      <c r="FD18" s="537"/>
      <c r="FE18" s="537"/>
      <c r="FF18" s="537"/>
      <c r="FG18" s="537"/>
      <c r="FH18" s="537"/>
      <c r="FI18" s="537"/>
      <c r="FJ18" s="537"/>
      <c r="FK18" s="537"/>
      <c r="FL18" s="537"/>
      <c r="FM18" s="537"/>
      <c r="FN18" s="537"/>
      <c r="FO18" s="537"/>
      <c r="FP18" s="537"/>
      <c r="FQ18" s="537"/>
      <c r="FR18" s="537"/>
      <c r="FS18" s="537"/>
      <c r="FT18" s="537"/>
      <c r="FU18" s="537"/>
      <c r="FV18" s="537"/>
      <c r="FW18" s="537"/>
      <c r="FX18" s="537"/>
      <c r="FY18" s="537"/>
      <c r="FZ18" s="537"/>
      <c r="GA18" s="537"/>
      <c r="GB18" s="537"/>
      <c r="GC18" s="537"/>
      <c r="GD18" s="537"/>
      <c r="GE18" s="537"/>
      <c r="GF18" s="537"/>
      <c r="GG18" s="537"/>
      <c r="GH18" s="537"/>
      <c r="GI18" s="537"/>
      <c r="GJ18" s="537"/>
      <c r="GK18" s="537"/>
      <c r="GL18" s="537"/>
      <c r="GM18" s="537"/>
      <c r="GN18" s="537"/>
      <c r="GO18" s="537"/>
      <c r="GP18" s="537"/>
      <c r="GQ18" s="537"/>
      <c r="GR18" s="537"/>
      <c r="GS18" s="537"/>
      <c r="GT18" s="537"/>
      <c r="GU18" s="537"/>
      <c r="GV18" s="537"/>
      <c r="GW18" s="537"/>
      <c r="GX18" s="537"/>
      <c r="GY18" s="537"/>
      <c r="GZ18" s="537"/>
      <c r="HA18" s="537"/>
      <c r="HB18" s="537"/>
      <c r="HC18" s="537"/>
      <c r="HD18" s="537"/>
      <c r="HE18" s="537"/>
      <c r="HF18" s="537"/>
      <c r="HG18" s="537"/>
      <c r="HH18" s="537"/>
      <c r="HI18" s="537"/>
      <c r="HJ18" s="537"/>
      <c r="HK18" s="537"/>
      <c r="HL18" s="537"/>
      <c r="HM18" s="537"/>
      <c r="HN18" s="537"/>
      <c r="HO18" s="537"/>
      <c r="HP18" s="537"/>
      <c r="HQ18" s="537"/>
      <c r="HR18" s="537"/>
      <c r="HS18" s="537"/>
      <c r="HT18" s="537"/>
      <c r="HU18" s="537"/>
      <c r="HV18" s="537"/>
      <c r="HW18" s="537"/>
      <c r="HX18" s="537"/>
      <c r="HY18" s="537"/>
      <c r="HZ18" s="537"/>
      <c r="IA18" s="537"/>
      <c r="IB18" s="537"/>
      <c r="IC18" s="537"/>
      <c r="ID18" s="537"/>
      <c r="IE18" s="537"/>
      <c r="IF18" s="537"/>
      <c r="IG18" s="537"/>
      <c r="IH18" s="537"/>
      <c r="II18" s="537"/>
      <c r="IJ18" s="537"/>
      <c r="IK18" s="537"/>
      <c r="IL18" s="537"/>
      <c r="IM18" s="537"/>
      <c r="IN18" s="537"/>
      <c r="IO18" s="537"/>
      <c r="IP18" s="537"/>
      <c r="IQ18" s="537"/>
      <c r="IR18" s="537"/>
      <c r="IS18" s="537"/>
      <c r="IT18" s="537"/>
      <c r="IU18" s="537"/>
      <c r="IV18" s="537"/>
      <c r="IW18" s="537"/>
    </row>
    <row r="19" customFormat="false" ht="12.75" hidden="false" customHeight="false" outlineLevel="0" collapsed="false">
      <c r="A19" s="544" t="s">
        <v>375</v>
      </c>
      <c r="B19" s="549" t="n">
        <f aca="false">SUM(B17:B18)</f>
        <v>120621</v>
      </c>
      <c r="C19" s="552"/>
      <c r="D19" s="549" t="n">
        <f aca="false">SUM(D17:D18)</f>
        <v>5846.98333333333</v>
      </c>
      <c r="E19" s="549" t="n">
        <f aca="false">SUM(E17:E18)</f>
        <v>10962.015</v>
      </c>
      <c r="F19" s="549" t="n">
        <f aca="false">SUM(F17:F18)</f>
        <v>9921.0335</v>
      </c>
      <c r="G19" s="549" t="n">
        <f aca="false">SUM(G17:G18)</f>
        <v>8989.629</v>
      </c>
      <c r="H19" s="549" t="n">
        <f aca="false">SUM(H17:H18)</f>
        <v>8145.8861</v>
      </c>
      <c r="I19" s="549" t="n">
        <f aca="false">SUM(I17:I18)</f>
        <v>7378.8471</v>
      </c>
      <c r="J19" s="549" t="n">
        <f aca="false">SUM(J17:J18)</f>
        <v>7017.243</v>
      </c>
      <c r="K19" s="549" t="n">
        <f aca="false">SUM(K17:K18)</f>
        <v>7028.2007</v>
      </c>
      <c r="L19" s="549" t="n">
        <f aca="false">SUM(L17:L18)</f>
        <v>7017.243</v>
      </c>
      <c r="M19" s="549" t="n">
        <f aca="false">SUM(M17:M18)</f>
        <v>7028.2007</v>
      </c>
      <c r="N19" s="549" t="n">
        <f aca="false">SUM(N17:N18)</f>
        <v>7017.243</v>
      </c>
      <c r="O19" s="549" t="n">
        <f aca="false">SUM(O17:O18)</f>
        <v>7028.2007</v>
      </c>
      <c r="P19" s="549" t="n">
        <f aca="false">SUM(P17:P18)</f>
        <v>7017.243</v>
      </c>
      <c r="Q19" s="549" t="n">
        <f aca="false">SUM(Q17:Q18)</f>
        <v>7028.2007</v>
      </c>
      <c r="R19" s="549" t="n">
        <f aca="false">SUM(R17:R18)</f>
        <v>7017.243</v>
      </c>
      <c r="S19" s="549" t="n">
        <f aca="false">SUM(S17:S18)</f>
        <v>3784.7215</v>
      </c>
      <c r="T19" s="549" t="n">
        <f aca="false">SUM(T17:T18)</f>
        <v>552.2</v>
      </c>
      <c r="U19" s="549" t="n">
        <f aca="false">SUM(U17:U18)</f>
        <v>552.2</v>
      </c>
      <c r="V19" s="549" t="n">
        <f aca="false">SUM(V17:V18)</f>
        <v>552.2</v>
      </c>
      <c r="W19" s="549" t="n">
        <f aca="false">SUM(W17:W18)</f>
        <v>552.2</v>
      </c>
      <c r="X19" s="549" t="n">
        <f aca="false">SUM(X17:X18)</f>
        <v>184.066666666667</v>
      </c>
      <c r="Y19" s="549" t="n">
        <f aca="false">SUM(Y17:Y18)</f>
        <v>0</v>
      </c>
      <c r="Z19" s="549" t="n">
        <f aca="false">SUM(Z17:Z18)</f>
        <v>0</v>
      </c>
      <c r="AA19" s="549" t="n">
        <f aca="false">SUM(AA17:AA18)</f>
        <v>0</v>
      </c>
      <c r="AB19" s="549" t="n">
        <f aca="false">SUM(AB17:AB18)</f>
        <v>0</v>
      </c>
      <c r="AC19" s="549" t="n">
        <f aca="false">SUM(AC17:AC18)</f>
        <v>0</v>
      </c>
      <c r="AD19" s="549" t="n">
        <f aca="false">SUM(AD17:AD18)</f>
        <v>0</v>
      </c>
      <c r="AE19" s="549" t="n">
        <f aca="false">SUM(AE17:AE18)</f>
        <v>0</v>
      </c>
      <c r="AF19" s="549" t="n">
        <f aca="false">SUM(AF17:AF18)</f>
        <v>0</v>
      </c>
      <c r="AG19" s="549" t="n">
        <f aca="false">SUM(AG17:AG18)</f>
        <v>0</v>
      </c>
      <c r="AH19" s="549" t="n">
        <f aca="false">SUM(AH17:AH18)</f>
        <v>0</v>
      </c>
      <c r="AI19" s="537"/>
      <c r="AJ19" s="537"/>
      <c r="AK19" s="537"/>
      <c r="AL19" s="537"/>
      <c r="AM19" s="537"/>
      <c r="AN19" s="537"/>
      <c r="AO19" s="537"/>
      <c r="AP19" s="537"/>
      <c r="AQ19" s="537"/>
      <c r="AR19" s="537"/>
      <c r="AS19" s="537"/>
      <c r="AT19" s="537"/>
      <c r="AU19" s="537"/>
      <c r="AV19" s="537"/>
      <c r="AW19" s="537"/>
      <c r="AX19" s="537"/>
      <c r="AY19" s="537"/>
      <c r="AZ19" s="537"/>
      <c r="BA19" s="537"/>
      <c r="BB19" s="537"/>
      <c r="BC19" s="537"/>
      <c r="BD19" s="537"/>
      <c r="BE19" s="537"/>
      <c r="BF19" s="537"/>
      <c r="BG19" s="537"/>
      <c r="BH19" s="537"/>
      <c r="BI19" s="537"/>
      <c r="BJ19" s="537"/>
      <c r="BK19" s="537"/>
      <c r="BL19" s="537"/>
      <c r="BM19" s="537"/>
      <c r="BN19" s="537"/>
      <c r="BO19" s="537"/>
      <c r="BP19" s="537"/>
      <c r="BQ19" s="537"/>
      <c r="BR19" s="537"/>
      <c r="BS19" s="537"/>
      <c r="BT19" s="537"/>
      <c r="BU19" s="537"/>
      <c r="BV19" s="537"/>
      <c r="BW19" s="537"/>
      <c r="BX19" s="537"/>
      <c r="BY19" s="537"/>
      <c r="BZ19" s="537"/>
      <c r="CA19" s="537"/>
      <c r="CB19" s="537"/>
      <c r="CC19" s="537"/>
      <c r="CD19" s="537"/>
      <c r="CE19" s="537"/>
      <c r="CF19" s="537"/>
      <c r="CG19" s="537"/>
      <c r="CH19" s="537"/>
      <c r="CI19" s="537"/>
      <c r="CJ19" s="537"/>
      <c r="CK19" s="537"/>
      <c r="CL19" s="537"/>
      <c r="CM19" s="537"/>
      <c r="CN19" s="537"/>
      <c r="CO19" s="537"/>
      <c r="CP19" s="537"/>
      <c r="CQ19" s="537"/>
      <c r="CR19" s="537"/>
      <c r="CS19" s="537"/>
      <c r="CT19" s="537"/>
      <c r="CU19" s="537"/>
      <c r="CV19" s="537"/>
      <c r="CW19" s="537"/>
      <c r="CX19" s="537"/>
      <c r="CY19" s="537"/>
      <c r="CZ19" s="537"/>
      <c r="DA19" s="537"/>
      <c r="DB19" s="537"/>
      <c r="DC19" s="537"/>
      <c r="DD19" s="537"/>
      <c r="DE19" s="537"/>
      <c r="DF19" s="537"/>
      <c r="DG19" s="537"/>
      <c r="DH19" s="537"/>
      <c r="DI19" s="537"/>
      <c r="DJ19" s="537"/>
      <c r="DK19" s="537"/>
      <c r="DL19" s="537"/>
      <c r="DM19" s="537"/>
      <c r="DN19" s="537"/>
      <c r="DO19" s="537"/>
      <c r="DP19" s="537"/>
      <c r="DQ19" s="537"/>
      <c r="DR19" s="537"/>
      <c r="DS19" s="537"/>
      <c r="DT19" s="537"/>
      <c r="DU19" s="537"/>
      <c r="DV19" s="537"/>
      <c r="DW19" s="537"/>
      <c r="DX19" s="537"/>
      <c r="DY19" s="537"/>
      <c r="DZ19" s="537"/>
      <c r="EA19" s="537"/>
      <c r="EB19" s="537"/>
      <c r="EC19" s="537"/>
      <c r="ED19" s="537"/>
      <c r="EE19" s="537"/>
      <c r="EF19" s="537"/>
      <c r="EG19" s="537"/>
      <c r="EH19" s="537"/>
      <c r="EI19" s="537"/>
      <c r="EJ19" s="537"/>
      <c r="EK19" s="537"/>
      <c r="EL19" s="537"/>
      <c r="EM19" s="537"/>
      <c r="EN19" s="537"/>
      <c r="EO19" s="537"/>
      <c r="EP19" s="537"/>
      <c r="EQ19" s="537"/>
      <c r="ER19" s="537"/>
      <c r="ES19" s="537"/>
      <c r="ET19" s="537"/>
      <c r="EU19" s="537"/>
      <c r="EV19" s="537"/>
      <c r="EW19" s="537"/>
      <c r="EX19" s="537"/>
      <c r="EY19" s="537"/>
      <c r="EZ19" s="537"/>
      <c r="FA19" s="537"/>
      <c r="FB19" s="537"/>
      <c r="FC19" s="537"/>
      <c r="FD19" s="537"/>
      <c r="FE19" s="537"/>
      <c r="FF19" s="537"/>
      <c r="FG19" s="537"/>
      <c r="FH19" s="537"/>
      <c r="FI19" s="537"/>
      <c r="FJ19" s="537"/>
      <c r="FK19" s="537"/>
      <c r="FL19" s="537"/>
      <c r="FM19" s="537"/>
      <c r="FN19" s="537"/>
      <c r="FO19" s="537"/>
      <c r="FP19" s="537"/>
      <c r="FQ19" s="537"/>
      <c r="FR19" s="537"/>
      <c r="FS19" s="537"/>
      <c r="FT19" s="537"/>
      <c r="FU19" s="537"/>
      <c r="FV19" s="537"/>
      <c r="FW19" s="537"/>
      <c r="FX19" s="537"/>
      <c r="FY19" s="537"/>
      <c r="FZ19" s="537"/>
      <c r="GA19" s="537"/>
      <c r="GB19" s="537"/>
      <c r="GC19" s="537"/>
      <c r="GD19" s="537"/>
      <c r="GE19" s="537"/>
      <c r="GF19" s="537"/>
      <c r="GG19" s="537"/>
      <c r="GH19" s="537"/>
      <c r="GI19" s="537"/>
      <c r="GJ19" s="537"/>
      <c r="GK19" s="537"/>
      <c r="GL19" s="537"/>
      <c r="GM19" s="537"/>
      <c r="GN19" s="537"/>
      <c r="GO19" s="537"/>
      <c r="GP19" s="537"/>
      <c r="GQ19" s="537"/>
      <c r="GR19" s="537"/>
      <c r="GS19" s="537"/>
      <c r="GT19" s="537"/>
      <c r="GU19" s="537"/>
      <c r="GV19" s="537"/>
      <c r="GW19" s="537"/>
      <c r="GX19" s="537"/>
      <c r="GY19" s="537"/>
      <c r="GZ19" s="537"/>
      <c r="HA19" s="537"/>
      <c r="HB19" s="537"/>
      <c r="HC19" s="537"/>
      <c r="HD19" s="537"/>
      <c r="HE19" s="537"/>
      <c r="HF19" s="537"/>
      <c r="HG19" s="537"/>
      <c r="HH19" s="537"/>
      <c r="HI19" s="537"/>
      <c r="HJ19" s="537"/>
      <c r="HK19" s="537"/>
      <c r="HL19" s="537"/>
      <c r="HM19" s="537"/>
      <c r="HN19" s="537"/>
      <c r="HO19" s="537"/>
      <c r="HP19" s="537"/>
      <c r="HQ19" s="537"/>
      <c r="HR19" s="537"/>
      <c r="HS19" s="537"/>
      <c r="HT19" s="537"/>
      <c r="HU19" s="537"/>
      <c r="HV19" s="537"/>
      <c r="HW19" s="537"/>
      <c r="HX19" s="537"/>
      <c r="HY19" s="537"/>
      <c r="HZ19" s="537"/>
      <c r="IA19" s="537"/>
      <c r="IB19" s="537"/>
      <c r="IC19" s="537"/>
      <c r="ID19" s="537"/>
      <c r="IE19" s="537"/>
      <c r="IF19" s="537"/>
      <c r="IG19" s="537"/>
      <c r="IH19" s="537"/>
      <c r="II19" s="537"/>
      <c r="IJ19" s="537"/>
      <c r="IK19" s="537"/>
      <c r="IL19" s="537"/>
      <c r="IM19" s="537"/>
      <c r="IN19" s="537"/>
      <c r="IO19" s="537"/>
      <c r="IP19" s="537"/>
      <c r="IQ19" s="537"/>
      <c r="IR19" s="537"/>
      <c r="IS19" s="537"/>
      <c r="IT19" s="537"/>
      <c r="IU19" s="537"/>
      <c r="IV19" s="537"/>
      <c r="IW19" s="537"/>
    </row>
    <row r="20" customFormat="false" ht="12.75" hidden="false" customHeight="false" outlineLevel="0" collapsed="false">
      <c r="A20" s="537"/>
      <c r="B20" s="549"/>
      <c r="C20" s="550"/>
      <c r="D20" s="549"/>
      <c r="E20" s="549"/>
      <c r="F20" s="549"/>
      <c r="G20" s="549"/>
      <c r="H20" s="549"/>
      <c r="I20" s="549"/>
      <c r="J20" s="549"/>
      <c r="K20" s="549"/>
      <c r="L20" s="549"/>
      <c r="M20" s="549"/>
      <c r="N20" s="549"/>
      <c r="O20" s="549"/>
      <c r="P20" s="549"/>
      <c r="Q20" s="549"/>
      <c r="R20" s="549"/>
      <c r="S20" s="549"/>
      <c r="T20" s="549"/>
      <c r="U20" s="549"/>
      <c r="V20" s="549"/>
      <c r="W20" s="549"/>
      <c r="X20" s="549"/>
      <c r="Y20" s="549"/>
      <c r="Z20" s="549"/>
      <c r="AA20" s="549"/>
      <c r="AB20" s="549"/>
      <c r="AC20" s="549"/>
      <c r="AD20" s="549"/>
      <c r="AE20" s="549"/>
      <c r="AF20" s="549"/>
      <c r="AG20" s="549"/>
      <c r="AH20" s="549"/>
      <c r="AI20" s="537"/>
      <c r="AJ20" s="537"/>
      <c r="AK20" s="537"/>
      <c r="AL20" s="537"/>
      <c r="AM20" s="537"/>
      <c r="AN20" s="537"/>
      <c r="AO20" s="537"/>
      <c r="AP20" s="537"/>
      <c r="AQ20" s="537"/>
      <c r="AR20" s="537"/>
      <c r="AS20" s="537"/>
      <c r="AT20" s="537"/>
      <c r="AU20" s="537"/>
      <c r="AV20" s="537"/>
      <c r="AW20" s="537"/>
      <c r="AX20" s="537"/>
      <c r="AY20" s="537"/>
      <c r="AZ20" s="537"/>
      <c r="BA20" s="537"/>
      <c r="BB20" s="537"/>
      <c r="BC20" s="537"/>
      <c r="BD20" s="537"/>
      <c r="BE20" s="537"/>
      <c r="BF20" s="537"/>
      <c r="BG20" s="537"/>
      <c r="BH20" s="537"/>
      <c r="BI20" s="537"/>
      <c r="BJ20" s="537"/>
      <c r="BK20" s="537"/>
      <c r="BL20" s="537"/>
      <c r="BM20" s="537"/>
      <c r="BN20" s="537"/>
      <c r="BO20" s="537"/>
      <c r="BP20" s="537"/>
      <c r="BQ20" s="537"/>
      <c r="BR20" s="537"/>
      <c r="BS20" s="537"/>
      <c r="BT20" s="537"/>
      <c r="BU20" s="537"/>
      <c r="BV20" s="537"/>
      <c r="BW20" s="537"/>
      <c r="BX20" s="537"/>
      <c r="BY20" s="537"/>
      <c r="BZ20" s="537"/>
      <c r="CA20" s="537"/>
      <c r="CB20" s="537"/>
      <c r="CC20" s="537"/>
      <c r="CD20" s="537"/>
      <c r="CE20" s="537"/>
      <c r="CF20" s="537"/>
      <c r="CG20" s="537"/>
      <c r="CH20" s="537"/>
      <c r="CI20" s="537"/>
      <c r="CJ20" s="537"/>
      <c r="CK20" s="537"/>
      <c r="CL20" s="537"/>
      <c r="CM20" s="537"/>
      <c r="CN20" s="537"/>
      <c r="CO20" s="537"/>
      <c r="CP20" s="537"/>
      <c r="CQ20" s="537"/>
      <c r="CR20" s="537"/>
      <c r="CS20" s="537"/>
      <c r="CT20" s="537"/>
      <c r="CU20" s="537"/>
      <c r="CV20" s="537"/>
      <c r="CW20" s="537"/>
      <c r="CX20" s="537"/>
      <c r="CY20" s="537"/>
      <c r="CZ20" s="537"/>
      <c r="DA20" s="537"/>
      <c r="DB20" s="537"/>
      <c r="DC20" s="537"/>
      <c r="DD20" s="537"/>
      <c r="DE20" s="537"/>
      <c r="DF20" s="537"/>
      <c r="DG20" s="537"/>
      <c r="DH20" s="537"/>
      <c r="DI20" s="537"/>
      <c r="DJ20" s="537"/>
      <c r="DK20" s="537"/>
      <c r="DL20" s="537"/>
      <c r="DM20" s="537"/>
      <c r="DN20" s="537"/>
      <c r="DO20" s="537"/>
      <c r="DP20" s="537"/>
      <c r="DQ20" s="537"/>
      <c r="DR20" s="537"/>
      <c r="DS20" s="537"/>
      <c r="DT20" s="537"/>
      <c r="DU20" s="537"/>
      <c r="DV20" s="537"/>
      <c r="DW20" s="537"/>
      <c r="DX20" s="537"/>
      <c r="DY20" s="537"/>
      <c r="DZ20" s="537"/>
      <c r="EA20" s="537"/>
      <c r="EB20" s="537"/>
      <c r="EC20" s="537"/>
      <c r="ED20" s="537"/>
      <c r="EE20" s="537"/>
      <c r="EF20" s="537"/>
      <c r="EG20" s="537"/>
      <c r="EH20" s="537"/>
      <c r="EI20" s="537"/>
      <c r="EJ20" s="537"/>
      <c r="EK20" s="537"/>
      <c r="EL20" s="537"/>
      <c r="EM20" s="537"/>
      <c r="EN20" s="537"/>
      <c r="EO20" s="537"/>
      <c r="EP20" s="537"/>
      <c r="EQ20" s="537"/>
      <c r="ER20" s="537"/>
      <c r="ES20" s="537"/>
      <c r="ET20" s="537"/>
      <c r="EU20" s="537"/>
      <c r="EV20" s="537"/>
      <c r="EW20" s="537"/>
      <c r="EX20" s="537"/>
      <c r="EY20" s="537"/>
      <c r="EZ20" s="537"/>
      <c r="FA20" s="537"/>
      <c r="FB20" s="537"/>
      <c r="FC20" s="537"/>
      <c r="FD20" s="537"/>
      <c r="FE20" s="537"/>
      <c r="FF20" s="537"/>
      <c r="FG20" s="537"/>
      <c r="FH20" s="537"/>
      <c r="FI20" s="537"/>
      <c r="FJ20" s="537"/>
      <c r="FK20" s="537"/>
      <c r="FL20" s="537"/>
      <c r="FM20" s="537"/>
      <c r="FN20" s="537"/>
      <c r="FO20" s="537"/>
      <c r="FP20" s="537"/>
      <c r="FQ20" s="537"/>
      <c r="FR20" s="537"/>
      <c r="FS20" s="537"/>
      <c r="FT20" s="537"/>
      <c r="FU20" s="537"/>
      <c r="FV20" s="537"/>
      <c r="FW20" s="537"/>
      <c r="FX20" s="537"/>
      <c r="FY20" s="537"/>
      <c r="FZ20" s="537"/>
      <c r="GA20" s="537"/>
      <c r="GB20" s="537"/>
      <c r="GC20" s="537"/>
      <c r="GD20" s="537"/>
      <c r="GE20" s="537"/>
      <c r="GF20" s="537"/>
      <c r="GG20" s="537"/>
      <c r="GH20" s="537"/>
      <c r="GI20" s="537"/>
      <c r="GJ20" s="537"/>
      <c r="GK20" s="537"/>
      <c r="GL20" s="537"/>
      <c r="GM20" s="537"/>
      <c r="GN20" s="537"/>
      <c r="GO20" s="537"/>
      <c r="GP20" s="537"/>
      <c r="GQ20" s="537"/>
      <c r="GR20" s="537"/>
      <c r="GS20" s="537"/>
      <c r="GT20" s="537"/>
      <c r="GU20" s="537"/>
      <c r="GV20" s="537"/>
      <c r="GW20" s="537"/>
      <c r="GX20" s="537"/>
      <c r="GY20" s="537"/>
      <c r="GZ20" s="537"/>
      <c r="HA20" s="537"/>
      <c r="HB20" s="537"/>
      <c r="HC20" s="537"/>
      <c r="HD20" s="537"/>
      <c r="HE20" s="537"/>
      <c r="HF20" s="537"/>
      <c r="HG20" s="537"/>
      <c r="HH20" s="537"/>
      <c r="HI20" s="537"/>
      <c r="HJ20" s="537"/>
      <c r="HK20" s="537"/>
      <c r="HL20" s="537"/>
      <c r="HM20" s="537"/>
      <c r="HN20" s="537"/>
      <c r="HO20" s="537"/>
      <c r="HP20" s="537"/>
      <c r="HQ20" s="537"/>
      <c r="HR20" s="537"/>
      <c r="HS20" s="537"/>
      <c r="HT20" s="537"/>
      <c r="HU20" s="537"/>
      <c r="HV20" s="537"/>
      <c r="HW20" s="537"/>
      <c r="HX20" s="537"/>
      <c r="HY20" s="537"/>
      <c r="HZ20" s="537"/>
      <c r="IA20" s="537"/>
      <c r="IB20" s="537"/>
      <c r="IC20" s="537"/>
      <c r="ID20" s="537"/>
      <c r="IE20" s="537"/>
      <c r="IF20" s="537"/>
      <c r="IG20" s="537"/>
      <c r="IH20" s="537"/>
      <c r="II20" s="537"/>
      <c r="IJ20" s="537"/>
      <c r="IK20" s="537"/>
      <c r="IL20" s="537"/>
      <c r="IM20" s="537"/>
      <c r="IN20" s="537"/>
      <c r="IO20" s="537"/>
      <c r="IP20" s="537"/>
      <c r="IQ20" s="537"/>
      <c r="IR20" s="537"/>
      <c r="IS20" s="537"/>
      <c r="IT20" s="537"/>
      <c r="IU20" s="537"/>
      <c r="IV20" s="537"/>
      <c r="IW20" s="537"/>
    </row>
    <row r="21" customFormat="false" ht="12.75" hidden="false" customHeight="false" outlineLevel="0" collapsed="false">
      <c r="A21" s="1" t="s">
        <v>376</v>
      </c>
      <c r="B21" s="549" t="n">
        <f aca="false">B19</f>
        <v>120621</v>
      </c>
      <c r="C21" s="550"/>
      <c r="D21" s="549" t="n">
        <f aca="false">B19-D19</f>
        <v>114774.016666667</v>
      </c>
      <c r="E21" s="549" t="n">
        <f aca="false">D21-E19</f>
        <v>103812.001666667</v>
      </c>
      <c r="F21" s="549" t="n">
        <f aca="false">E21-F19</f>
        <v>93890.9681666667</v>
      </c>
      <c r="G21" s="549" t="n">
        <f aca="false">F21-G19</f>
        <v>84901.3391666667</v>
      </c>
      <c r="H21" s="549" t="n">
        <f aca="false">G21-H19</f>
        <v>76755.4530666667</v>
      </c>
      <c r="I21" s="549" t="n">
        <f aca="false">H21-I19</f>
        <v>69376.6059666667</v>
      </c>
      <c r="J21" s="549" t="n">
        <f aca="false">I21-J19</f>
        <v>62359.3629666667</v>
      </c>
      <c r="K21" s="549" t="n">
        <f aca="false">J21-K19</f>
        <v>55331.1622666667</v>
      </c>
      <c r="L21" s="549" t="n">
        <f aca="false">K21-L19</f>
        <v>48313.9192666667</v>
      </c>
      <c r="M21" s="549" t="n">
        <f aca="false">L21-M19</f>
        <v>41285.7185666667</v>
      </c>
      <c r="N21" s="549" t="n">
        <f aca="false">M21-N19</f>
        <v>34268.4755666666</v>
      </c>
      <c r="O21" s="549" t="n">
        <f aca="false">N21-O19</f>
        <v>27240.2748666666</v>
      </c>
      <c r="P21" s="549" t="n">
        <f aca="false">O21-P19</f>
        <v>20223.0318666666</v>
      </c>
      <c r="Q21" s="549" t="n">
        <f aca="false">P21-Q19</f>
        <v>13194.8311666666</v>
      </c>
      <c r="R21" s="549" t="n">
        <f aca="false">Q21-R19</f>
        <v>6177.58816666665</v>
      </c>
      <c r="S21" s="549" t="n">
        <f aca="false">R21-S19</f>
        <v>2392.86666666665</v>
      </c>
      <c r="T21" s="549" t="n">
        <f aca="false">S21-T19</f>
        <v>1840.66666666665</v>
      </c>
      <c r="U21" s="549" t="n">
        <f aca="false">T21-U19</f>
        <v>1288.46666666665</v>
      </c>
      <c r="V21" s="549" t="n">
        <f aca="false">U21-V19</f>
        <v>736.266666666648</v>
      </c>
      <c r="W21" s="549" t="n">
        <f aca="false">V21-W19</f>
        <v>184.066666666648</v>
      </c>
      <c r="X21" s="549" t="n">
        <f aca="false">W21-X19</f>
        <v>-1.91846538655227E-011</v>
      </c>
      <c r="Y21" s="549" t="n">
        <f aca="false">X21-Y19</f>
        <v>-1.91846538655227E-011</v>
      </c>
      <c r="Z21" s="549" t="n">
        <f aca="false">Y21-Z19</f>
        <v>-1.91846538655227E-011</v>
      </c>
      <c r="AA21" s="549" t="n">
        <f aca="false">Z21-AA19</f>
        <v>-1.91846538655227E-011</v>
      </c>
      <c r="AB21" s="549" t="n">
        <f aca="false">AA21-AB19</f>
        <v>-1.91846538655227E-011</v>
      </c>
      <c r="AC21" s="549" t="n">
        <f aca="false">AB21-AC19</f>
        <v>-1.91846538655227E-011</v>
      </c>
      <c r="AD21" s="549" t="n">
        <f aca="false">AC21-AD19</f>
        <v>-1.91846538655227E-011</v>
      </c>
      <c r="AE21" s="549" t="n">
        <f aca="false">AD21-AE19</f>
        <v>-1.91846538655227E-011</v>
      </c>
      <c r="AF21" s="549" t="n">
        <f aca="false">AE21-AF19</f>
        <v>-1.91846538655227E-011</v>
      </c>
      <c r="AG21" s="549" t="n">
        <f aca="false">AF21-AG19</f>
        <v>-1.91846538655227E-011</v>
      </c>
      <c r="AH21" s="549" t="n">
        <f aca="false">AG21-AH19</f>
        <v>-1.91846538655227E-011</v>
      </c>
      <c r="AI21" s="537"/>
      <c r="AJ21" s="537"/>
      <c r="AK21" s="537"/>
      <c r="AL21" s="537"/>
      <c r="AM21" s="537"/>
      <c r="AN21" s="537"/>
      <c r="AO21" s="537"/>
      <c r="AP21" s="537"/>
      <c r="AQ21" s="537"/>
      <c r="AR21" s="537"/>
      <c r="AS21" s="537"/>
      <c r="AT21" s="537"/>
      <c r="AU21" s="537"/>
      <c r="AV21" s="537"/>
      <c r="AW21" s="537"/>
      <c r="AX21" s="537"/>
      <c r="AY21" s="537"/>
      <c r="AZ21" s="537"/>
      <c r="BA21" s="537"/>
      <c r="BB21" s="537"/>
      <c r="BC21" s="537"/>
      <c r="BD21" s="537"/>
      <c r="BE21" s="537"/>
      <c r="BF21" s="537"/>
      <c r="BG21" s="537"/>
      <c r="BH21" s="537"/>
      <c r="BI21" s="537"/>
      <c r="BJ21" s="537"/>
      <c r="BK21" s="537"/>
      <c r="BL21" s="537"/>
      <c r="BM21" s="537"/>
      <c r="BN21" s="537"/>
      <c r="BO21" s="537"/>
      <c r="BP21" s="537"/>
      <c r="BQ21" s="537"/>
      <c r="BR21" s="537"/>
      <c r="BS21" s="537"/>
      <c r="BT21" s="537"/>
      <c r="BU21" s="537"/>
      <c r="BV21" s="537"/>
      <c r="BW21" s="537"/>
      <c r="BX21" s="537"/>
      <c r="BY21" s="537"/>
      <c r="BZ21" s="537"/>
      <c r="CA21" s="537"/>
      <c r="CB21" s="537"/>
      <c r="CC21" s="537"/>
      <c r="CD21" s="537"/>
      <c r="CE21" s="537"/>
      <c r="CF21" s="537"/>
      <c r="CG21" s="537"/>
      <c r="CH21" s="537"/>
      <c r="CI21" s="537"/>
      <c r="CJ21" s="537"/>
      <c r="CK21" s="537"/>
      <c r="CL21" s="537"/>
      <c r="CM21" s="537"/>
      <c r="CN21" s="537"/>
      <c r="CO21" s="537"/>
      <c r="CP21" s="537"/>
      <c r="CQ21" s="537"/>
      <c r="CR21" s="537"/>
      <c r="CS21" s="537"/>
      <c r="CT21" s="537"/>
      <c r="CU21" s="537"/>
      <c r="CV21" s="537"/>
      <c r="CW21" s="537"/>
      <c r="CX21" s="537"/>
      <c r="CY21" s="537"/>
      <c r="CZ21" s="537"/>
      <c r="DA21" s="537"/>
      <c r="DB21" s="537"/>
      <c r="DC21" s="537"/>
      <c r="DD21" s="537"/>
      <c r="DE21" s="537"/>
      <c r="DF21" s="537"/>
      <c r="DG21" s="537"/>
      <c r="DH21" s="537"/>
      <c r="DI21" s="537"/>
      <c r="DJ21" s="537"/>
      <c r="DK21" s="537"/>
      <c r="DL21" s="537"/>
      <c r="DM21" s="537"/>
      <c r="DN21" s="537"/>
      <c r="DO21" s="537"/>
      <c r="DP21" s="537"/>
      <c r="DQ21" s="537"/>
      <c r="DR21" s="537"/>
      <c r="DS21" s="537"/>
      <c r="DT21" s="537"/>
      <c r="DU21" s="537"/>
      <c r="DV21" s="537"/>
      <c r="DW21" s="537"/>
      <c r="DX21" s="537"/>
      <c r="DY21" s="537"/>
      <c r="DZ21" s="537"/>
      <c r="EA21" s="537"/>
      <c r="EB21" s="537"/>
      <c r="EC21" s="537"/>
      <c r="ED21" s="537"/>
      <c r="EE21" s="537"/>
      <c r="EF21" s="537"/>
      <c r="EG21" s="537"/>
      <c r="EH21" s="537"/>
      <c r="EI21" s="537"/>
      <c r="EJ21" s="537"/>
      <c r="EK21" s="537"/>
      <c r="EL21" s="537"/>
      <c r="EM21" s="537"/>
      <c r="EN21" s="537"/>
      <c r="EO21" s="537"/>
      <c r="EP21" s="537"/>
      <c r="EQ21" s="537"/>
      <c r="ER21" s="537"/>
      <c r="ES21" s="537"/>
      <c r="ET21" s="537"/>
      <c r="EU21" s="537"/>
      <c r="EV21" s="537"/>
      <c r="EW21" s="537"/>
      <c r="EX21" s="537"/>
      <c r="EY21" s="537"/>
      <c r="EZ21" s="537"/>
      <c r="FA21" s="537"/>
      <c r="FB21" s="537"/>
      <c r="FC21" s="537"/>
      <c r="FD21" s="537"/>
      <c r="FE21" s="537"/>
      <c r="FF21" s="537"/>
      <c r="FG21" s="537"/>
      <c r="FH21" s="537"/>
      <c r="FI21" s="537"/>
      <c r="FJ21" s="537"/>
      <c r="FK21" s="537"/>
      <c r="FL21" s="537"/>
      <c r="FM21" s="537"/>
      <c r="FN21" s="537"/>
      <c r="FO21" s="537"/>
      <c r="FP21" s="537"/>
      <c r="FQ21" s="537"/>
      <c r="FR21" s="537"/>
      <c r="FS21" s="537"/>
      <c r="FT21" s="537"/>
      <c r="FU21" s="537"/>
      <c r="FV21" s="537"/>
      <c r="FW21" s="537"/>
      <c r="FX21" s="537"/>
      <c r="FY21" s="537"/>
      <c r="FZ21" s="537"/>
      <c r="GA21" s="537"/>
      <c r="GB21" s="537"/>
      <c r="GC21" s="537"/>
      <c r="GD21" s="537"/>
      <c r="GE21" s="537"/>
      <c r="GF21" s="537"/>
      <c r="GG21" s="537"/>
      <c r="GH21" s="537"/>
      <c r="GI21" s="537"/>
      <c r="GJ21" s="537"/>
      <c r="GK21" s="537"/>
      <c r="GL21" s="537"/>
      <c r="GM21" s="537"/>
      <c r="GN21" s="537"/>
      <c r="GO21" s="537"/>
      <c r="GP21" s="537"/>
      <c r="GQ21" s="537"/>
      <c r="GR21" s="537"/>
      <c r="GS21" s="537"/>
      <c r="GT21" s="537"/>
      <c r="GU21" s="537"/>
      <c r="GV21" s="537"/>
      <c r="GW21" s="537"/>
      <c r="GX21" s="537"/>
      <c r="GY21" s="537"/>
      <c r="GZ21" s="537"/>
      <c r="HA21" s="537"/>
      <c r="HB21" s="537"/>
      <c r="HC21" s="537"/>
      <c r="HD21" s="537"/>
      <c r="HE21" s="537"/>
      <c r="HF21" s="537"/>
      <c r="HG21" s="537"/>
      <c r="HH21" s="537"/>
      <c r="HI21" s="537"/>
      <c r="HJ21" s="537"/>
      <c r="HK21" s="537"/>
      <c r="HL21" s="537"/>
      <c r="HM21" s="537"/>
      <c r="HN21" s="537"/>
      <c r="HO21" s="537"/>
      <c r="HP21" s="537"/>
      <c r="HQ21" s="537"/>
      <c r="HR21" s="537"/>
      <c r="HS21" s="537"/>
      <c r="HT21" s="537"/>
      <c r="HU21" s="537"/>
      <c r="HV21" s="537"/>
      <c r="HW21" s="537"/>
      <c r="HX21" s="537"/>
      <c r="HY21" s="537"/>
      <c r="HZ21" s="537"/>
      <c r="IA21" s="537"/>
      <c r="IB21" s="537"/>
      <c r="IC21" s="537"/>
      <c r="ID21" s="537"/>
      <c r="IE21" s="537"/>
      <c r="IF21" s="537"/>
      <c r="IG21" s="537"/>
      <c r="IH21" s="537"/>
      <c r="II21" s="537"/>
      <c r="IJ21" s="537"/>
      <c r="IK21" s="537"/>
      <c r="IL21" s="537"/>
      <c r="IM21" s="537"/>
      <c r="IN21" s="537"/>
      <c r="IO21" s="537"/>
      <c r="IP21" s="537"/>
      <c r="IQ21" s="537"/>
      <c r="IR21" s="537"/>
      <c r="IS21" s="537"/>
      <c r="IT21" s="537"/>
      <c r="IU21" s="537"/>
      <c r="IV21" s="537"/>
      <c r="IW21" s="537"/>
    </row>
    <row r="22" customFormat="false" ht="12.75" hidden="false" customHeight="false" outlineLevel="0" collapsed="false">
      <c r="A22" s="553"/>
      <c r="B22" s="504"/>
      <c r="C22" s="554"/>
      <c r="AI22" s="537"/>
      <c r="AJ22" s="537"/>
      <c r="AK22" s="537"/>
      <c r="AL22" s="537"/>
      <c r="AM22" s="537"/>
      <c r="AN22" s="537"/>
      <c r="AO22" s="537"/>
      <c r="AP22" s="537"/>
      <c r="AQ22" s="537"/>
      <c r="AR22" s="537"/>
      <c r="AS22" s="537"/>
      <c r="AT22" s="537"/>
      <c r="AU22" s="537"/>
      <c r="AV22" s="537"/>
      <c r="AW22" s="537"/>
      <c r="AX22" s="537"/>
      <c r="AY22" s="537"/>
      <c r="AZ22" s="537"/>
      <c r="BA22" s="537"/>
      <c r="BB22" s="537"/>
      <c r="BC22" s="537"/>
      <c r="BD22" s="537"/>
      <c r="BE22" s="537"/>
      <c r="BF22" s="537"/>
      <c r="BG22" s="537"/>
      <c r="BH22" s="537"/>
      <c r="BI22" s="537"/>
      <c r="BJ22" s="537"/>
      <c r="BK22" s="537"/>
      <c r="BL22" s="537"/>
      <c r="BM22" s="537"/>
      <c r="BN22" s="537"/>
      <c r="BO22" s="537"/>
      <c r="BP22" s="537"/>
      <c r="BQ22" s="537"/>
      <c r="BR22" s="537"/>
      <c r="BS22" s="537"/>
      <c r="BT22" s="537"/>
      <c r="BU22" s="537"/>
      <c r="BV22" s="537"/>
      <c r="BW22" s="537"/>
      <c r="BX22" s="537"/>
      <c r="BY22" s="537"/>
      <c r="BZ22" s="537"/>
      <c r="CA22" s="537"/>
      <c r="CB22" s="537"/>
      <c r="CC22" s="537"/>
      <c r="CD22" s="537"/>
      <c r="CE22" s="537"/>
      <c r="CF22" s="537"/>
      <c r="CG22" s="537"/>
      <c r="CH22" s="537"/>
      <c r="CI22" s="537"/>
      <c r="CJ22" s="537"/>
      <c r="CK22" s="537"/>
      <c r="CL22" s="537"/>
      <c r="CM22" s="537"/>
      <c r="CN22" s="537"/>
      <c r="CO22" s="537"/>
      <c r="CP22" s="537"/>
      <c r="CQ22" s="537"/>
      <c r="CR22" s="537"/>
      <c r="CS22" s="537"/>
      <c r="CT22" s="537"/>
      <c r="CU22" s="537"/>
      <c r="CV22" s="537"/>
      <c r="CW22" s="537"/>
      <c r="CX22" s="537"/>
      <c r="CY22" s="537"/>
      <c r="CZ22" s="537"/>
      <c r="DA22" s="537"/>
      <c r="DB22" s="537"/>
      <c r="DC22" s="537"/>
      <c r="DD22" s="537"/>
      <c r="DE22" s="537"/>
      <c r="DF22" s="537"/>
      <c r="DG22" s="537"/>
      <c r="DH22" s="537"/>
      <c r="DI22" s="537"/>
      <c r="DJ22" s="537"/>
      <c r="DK22" s="537"/>
      <c r="DL22" s="537"/>
      <c r="DM22" s="537"/>
      <c r="DN22" s="537"/>
      <c r="DO22" s="537"/>
      <c r="DP22" s="537"/>
      <c r="DQ22" s="537"/>
      <c r="DR22" s="537"/>
      <c r="DS22" s="537"/>
      <c r="DT22" s="537"/>
      <c r="DU22" s="537"/>
      <c r="DV22" s="537"/>
      <c r="DW22" s="537"/>
      <c r="DX22" s="537"/>
      <c r="DY22" s="537"/>
      <c r="DZ22" s="537"/>
      <c r="EA22" s="537"/>
      <c r="EB22" s="537"/>
      <c r="EC22" s="537"/>
      <c r="ED22" s="537"/>
      <c r="EE22" s="537"/>
      <c r="EF22" s="537"/>
      <c r="EG22" s="537"/>
      <c r="EH22" s="537"/>
      <c r="EI22" s="537"/>
      <c r="EJ22" s="537"/>
      <c r="EK22" s="537"/>
      <c r="EL22" s="537"/>
      <c r="EM22" s="537"/>
      <c r="EN22" s="537"/>
      <c r="EO22" s="537"/>
      <c r="EP22" s="537"/>
      <c r="EQ22" s="537"/>
      <c r="ER22" s="537"/>
      <c r="ES22" s="537"/>
      <c r="ET22" s="537"/>
      <c r="EU22" s="537"/>
      <c r="EV22" s="537"/>
      <c r="EW22" s="537"/>
      <c r="EX22" s="537"/>
      <c r="EY22" s="537"/>
      <c r="EZ22" s="537"/>
      <c r="FA22" s="537"/>
      <c r="FB22" s="537"/>
      <c r="FC22" s="537"/>
      <c r="FD22" s="537"/>
      <c r="FE22" s="537"/>
      <c r="FF22" s="537"/>
      <c r="FG22" s="537"/>
      <c r="FH22" s="537"/>
      <c r="FI22" s="537"/>
      <c r="FJ22" s="537"/>
      <c r="FK22" s="537"/>
      <c r="FL22" s="537"/>
      <c r="FM22" s="537"/>
      <c r="FN22" s="537"/>
      <c r="FO22" s="537"/>
      <c r="FP22" s="537"/>
      <c r="FQ22" s="537"/>
      <c r="FR22" s="537"/>
      <c r="FS22" s="537"/>
      <c r="FT22" s="537"/>
      <c r="FU22" s="537"/>
      <c r="FV22" s="537"/>
      <c r="FW22" s="537"/>
      <c r="FX22" s="537"/>
      <c r="FY22" s="537"/>
      <c r="FZ22" s="537"/>
      <c r="GA22" s="537"/>
      <c r="GB22" s="537"/>
      <c r="GC22" s="537"/>
      <c r="GD22" s="537"/>
      <c r="GE22" s="537"/>
      <c r="GF22" s="537"/>
      <c r="GG22" s="537"/>
      <c r="GH22" s="537"/>
      <c r="GI22" s="537"/>
      <c r="GJ22" s="537"/>
      <c r="GK22" s="537"/>
      <c r="GL22" s="537"/>
      <c r="GM22" s="537"/>
      <c r="GN22" s="537"/>
      <c r="GO22" s="537"/>
      <c r="GP22" s="537"/>
      <c r="GQ22" s="537"/>
      <c r="GR22" s="537"/>
      <c r="GS22" s="537"/>
      <c r="GT22" s="537"/>
      <c r="GU22" s="537"/>
      <c r="GV22" s="537"/>
      <c r="GW22" s="537"/>
      <c r="GX22" s="537"/>
      <c r="GY22" s="537"/>
      <c r="GZ22" s="537"/>
      <c r="HA22" s="537"/>
      <c r="HB22" s="537"/>
      <c r="HC22" s="537"/>
      <c r="HD22" s="537"/>
      <c r="HE22" s="537"/>
      <c r="HF22" s="537"/>
      <c r="HG22" s="537"/>
      <c r="HH22" s="537"/>
      <c r="HI22" s="537"/>
      <c r="HJ22" s="537"/>
      <c r="HK22" s="537"/>
      <c r="HL22" s="537"/>
      <c r="HM22" s="537"/>
      <c r="HN22" s="537"/>
      <c r="HO22" s="537"/>
      <c r="HP22" s="537"/>
      <c r="HQ22" s="537"/>
      <c r="HR22" s="537"/>
      <c r="HS22" s="537"/>
      <c r="HT22" s="537"/>
      <c r="HU22" s="537"/>
      <c r="HV22" s="537"/>
      <c r="HW22" s="537"/>
      <c r="HX22" s="537"/>
      <c r="HY22" s="537"/>
      <c r="HZ22" s="537"/>
      <c r="IA22" s="537"/>
      <c r="IB22" s="537"/>
      <c r="IC22" s="537"/>
      <c r="ID22" s="537"/>
      <c r="IE22" s="537"/>
      <c r="IF22" s="537"/>
      <c r="IG22" s="537"/>
      <c r="IH22" s="537"/>
      <c r="II22" s="537"/>
      <c r="IJ22" s="537"/>
      <c r="IK22" s="537"/>
      <c r="IL22" s="537"/>
      <c r="IM22" s="537"/>
      <c r="IN22" s="537"/>
      <c r="IO22" s="537"/>
      <c r="IP22" s="537"/>
      <c r="IQ22" s="537"/>
      <c r="IR22" s="537"/>
      <c r="IS22" s="537"/>
      <c r="IT22" s="537"/>
      <c r="IU22" s="537"/>
      <c r="IV22" s="537"/>
      <c r="IW22" s="537"/>
    </row>
    <row r="23" customFormat="false" ht="12.75" hidden="false" customHeight="false" outlineLevel="0" collapsed="false">
      <c r="A23" s="534" t="s">
        <v>377</v>
      </c>
      <c r="B23" s="555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537"/>
      <c r="AJ23" s="537"/>
      <c r="AK23" s="537"/>
      <c r="AL23" s="537"/>
      <c r="AM23" s="537"/>
      <c r="AN23" s="537"/>
      <c r="AO23" s="537"/>
      <c r="AP23" s="537"/>
      <c r="AQ23" s="537"/>
      <c r="AR23" s="537"/>
      <c r="AS23" s="537"/>
      <c r="AT23" s="537"/>
      <c r="AU23" s="537"/>
      <c r="AV23" s="537"/>
      <c r="AW23" s="537"/>
      <c r="AX23" s="537"/>
      <c r="AY23" s="537"/>
      <c r="AZ23" s="537"/>
      <c r="BA23" s="537"/>
      <c r="BB23" s="537"/>
      <c r="BC23" s="537"/>
      <c r="BD23" s="537"/>
      <c r="BE23" s="537"/>
      <c r="BF23" s="537"/>
      <c r="BG23" s="537"/>
      <c r="BH23" s="537"/>
      <c r="BI23" s="537"/>
      <c r="BJ23" s="537"/>
      <c r="BK23" s="537"/>
      <c r="BL23" s="537"/>
      <c r="BM23" s="537"/>
      <c r="BN23" s="537"/>
      <c r="BO23" s="537"/>
      <c r="BP23" s="537"/>
      <c r="BQ23" s="537"/>
      <c r="BR23" s="537"/>
      <c r="BS23" s="537"/>
      <c r="BT23" s="537"/>
      <c r="BU23" s="537"/>
      <c r="BV23" s="537"/>
      <c r="BW23" s="537"/>
      <c r="BX23" s="537"/>
      <c r="BY23" s="537"/>
      <c r="BZ23" s="537"/>
      <c r="CA23" s="537"/>
      <c r="CB23" s="537"/>
      <c r="CC23" s="537"/>
      <c r="CD23" s="537"/>
      <c r="CE23" s="537"/>
      <c r="CF23" s="537"/>
      <c r="CG23" s="537"/>
      <c r="CH23" s="537"/>
      <c r="CI23" s="537"/>
      <c r="CJ23" s="537"/>
      <c r="CK23" s="537"/>
      <c r="CL23" s="537"/>
      <c r="CM23" s="537"/>
      <c r="CN23" s="537"/>
      <c r="CO23" s="537"/>
      <c r="CP23" s="537"/>
      <c r="CQ23" s="537"/>
      <c r="CR23" s="537"/>
      <c r="CS23" s="537"/>
      <c r="CT23" s="537"/>
      <c r="CU23" s="537"/>
      <c r="CV23" s="537"/>
      <c r="CW23" s="537"/>
      <c r="CX23" s="537"/>
      <c r="CY23" s="537"/>
      <c r="CZ23" s="537"/>
      <c r="DA23" s="537"/>
      <c r="DB23" s="537"/>
      <c r="DC23" s="537"/>
      <c r="DD23" s="537"/>
      <c r="DE23" s="537"/>
      <c r="DF23" s="537"/>
      <c r="DG23" s="537"/>
      <c r="DH23" s="537"/>
      <c r="DI23" s="537"/>
      <c r="DJ23" s="537"/>
      <c r="DK23" s="537"/>
      <c r="DL23" s="537"/>
      <c r="DM23" s="537"/>
      <c r="DN23" s="537"/>
      <c r="DO23" s="537"/>
      <c r="DP23" s="537"/>
      <c r="DQ23" s="537"/>
      <c r="DR23" s="537"/>
      <c r="DS23" s="537"/>
      <c r="DT23" s="537"/>
      <c r="DU23" s="537"/>
      <c r="DV23" s="537"/>
      <c r="DW23" s="537"/>
      <c r="DX23" s="537"/>
      <c r="DY23" s="537"/>
      <c r="DZ23" s="537"/>
      <c r="EA23" s="537"/>
      <c r="EB23" s="537"/>
      <c r="EC23" s="537"/>
      <c r="ED23" s="537"/>
      <c r="EE23" s="537"/>
      <c r="EF23" s="537"/>
      <c r="EG23" s="537"/>
      <c r="EH23" s="537"/>
      <c r="EI23" s="537"/>
      <c r="EJ23" s="537"/>
      <c r="EK23" s="537"/>
      <c r="EL23" s="537"/>
      <c r="EM23" s="537"/>
      <c r="EN23" s="537"/>
      <c r="EO23" s="537"/>
      <c r="EP23" s="537"/>
      <c r="EQ23" s="537"/>
      <c r="ER23" s="537"/>
      <c r="ES23" s="537"/>
      <c r="ET23" s="537"/>
      <c r="EU23" s="537"/>
      <c r="EV23" s="537"/>
      <c r="EW23" s="537"/>
      <c r="EX23" s="537"/>
      <c r="EY23" s="537"/>
      <c r="EZ23" s="537"/>
      <c r="FA23" s="537"/>
      <c r="FB23" s="537"/>
      <c r="FC23" s="537"/>
      <c r="FD23" s="537"/>
      <c r="FE23" s="537"/>
      <c r="FF23" s="537"/>
      <c r="FG23" s="537"/>
      <c r="FH23" s="537"/>
      <c r="FI23" s="537"/>
      <c r="FJ23" s="537"/>
      <c r="FK23" s="537"/>
      <c r="FL23" s="537"/>
      <c r="FM23" s="537"/>
      <c r="FN23" s="537"/>
      <c r="FO23" s="537"/>
      <c r="FP23" s="537"/>
      <c r="FQ23" s="537"/>
      <c r="FR23" s="537"/>
      <c r="FS23" s="537"/>
      <c r="FT23" s="537"/>
      <c r="FU23" s="537"/>
      <c r="FV23" s="537"/>
      <c r="FW23" s="537"/>
      <c r="FX23" s="537"/>
      <c r="FY23" s="537"/>
      <c r="FZ23" s="537"/>
      <c r="GA23" s="537"/>
      <c r="GB23" s="537"/>
      <c r="GC23" s="537"/>
      <c r="GD23" s="537"/>
      <c r="GE23" s="537"/>
      <c r="GF23" s="537"/>
      <c r="GG23" s="537"/>
      <c r="GH23" s="537"/>
      <c r="GI23" s="537"/>
      <c r="GJ23" s="537"/>
      <c r="GK23" s="537"/>
      <c r="GL23" s="537"/>
      <c r="GM23" s="537"/>
      <c r="GN23" s="537"/>
      <c r="GO23" s="537"/>
      <c r="GP23" s="537"/>
      <c r="GQ23" s="537"/>
      <c r="GR23" s="537"/>
      <c r="GS23" s="537"/>
      <c r="GT23" s="537"/>
      <c r="GU23" s="537"/>
      <c r="GV23" s="537"/>
      <c r="GW23" s="537"/>
      <c r="GX23" s="537"/>
      <c r="GY23" s="537"/>
      <c r="GZ23" s="537"/>
      <c r="HA23" s="537"/>
      <c r="HB23" s="537"/>
      <c r="HC23" s="537"/>
      <c r="HD23" s="537"/>
      <c r="HE23" s="537"/>
      <c r="HF23" s="537"/>
      <c r="HG23" s="537"/>
      <c r="HH23" s="537"/>
      <c r="HI23" s="537"/>
      <c r="HJ23" s="537"/>
      <c r="HK23" s="537"/>
      <c r="HL23" s="537"/>
      <c r="HM23" s="537"/>
      <c r="HN23" s="537"/>
      <c r="HO23" s="537"/>
      <c r="HP23" s="537"/>
      <c r="HQ23" s="537"/>
      <c r="HR23" s="537"/>
      <c r="HS23" s="537"/>
      <c r="HT23" s="537"/>
      <c r="HU23" s="537"/>
      <c r="HV23" s="537"/>
      <c r="HW23" s="537"/>
      <c r="HX23" s="537"/>
      <c r="HY23" s="537"/>
      <c r="HZ23" s="537"/>
      <c r="IA23" s="537"/>
      <c r="IB23" s="537"/>
      <c r="IC23" s="537"/>
      <c r="ID23" s="537"/>
      <c r="IE23" s="537"/>
      <c r="IF23" s="537"/>
      <c r="IG23" s="537"/>
      <c r="IH23" s="537"/>
      <c r="II23" s="537"/>
      <c r="IJ23" s="537"/>
      <c r="IK23" s="537"/>
      <c r="IL23" s="537"/>
      <c r="IM23" s="537"/>
      <c r="IN23" s="537"/>
      <c r="IO23" s="537"/>
      <c r="IP23" s="537"/>
      <c r="IQ23" s="537"/>
      <c r="IR23" s="537"/>
      <c r="IS23" s="537"/>
      <c r="IT23" s="537"/>
      <c r="IU23" s="537"/>
      <c r="IV23" s="537"/>
      <c r="IW23" s="537"/>
    </row>
    <row r="24" customFormat="false" ht="12.75" hidden="false" customHeight="false" outlineLevel="0" collapsed="false">
      <c r="A24" s="534"/>
      <c r="B24" s="538" t="s">
        <v>371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537"/>
      <c r="AJ24" s="537"/>
      <c r="AK24" s="537"/>
      <c r="AL24" s="537"/>
      <c r="AM24" s="537"/>
      <c r="AN24" s="537"/>
      <c r="AO24" s="537"/>
      <c r="AP24" s="537"/>
      <c r="AQ24" s="537"/>
      <c r="AR24" s="537"/>
      <c r="AS24" s="537"/>
      <c r="AT24" s="537"/>
      <c r="AU24" s="537"/>
      <c r="AV24" s="537"/>
      <c r="AW24" s="537"/>
      <c r="AX24" s="537"/>
      <c r="AY24" s="537"/>
      <c r="AZ24" s="537"/>
      <c r="BA24" s="537"/>
      <c r="BB24" s="537"/>
      <c r="BC24" s="537"/>
      <c r="BD24" s="537"/>
      <c r="BE24" s="537"/>
      <c r="BF24" s="537"/>
      <c r="BG24" s="537"/>
      <c r="BH24" s="537"/>
      <c r="BI24" s="537"/>
      <c r="BJ24" s="537"/>
      <c r="BK24" s="537"/>
      <c r="BL24" s="537"/>
      <c r="BM24" s="537"/>
      <c r="BN24" s="537"/>
      <c r="BO24" s="537"/>
      <c r="BP24" s="537"/>
      <c r="BQ24" s="537"/>
      <c r="BR24" s="537"/>
      <c r="BS24" s="537"/>
      <c r="BT24" s="537"/>
      <c r="BU24" s="537"/>
      <c r="BV24" s="537"/>
      <c r="BW24" s="537"/>
      <c r="BX24" s="537"/>
      <c r="BY24" s="537"/>
      <c r="BZ24" s="537"/>
      <c r="CA24" s="537"/>
      <c r="CB24" s="537"/>
      <c r="CC24" s="537"/>
      <c r="CD24" s="537"/>
      <c r="CE24" s="537"/>
      <c r="CF24" s="537"/>
      <c r="CG24" s="537"/>
      <c r="CH24" s="537"/>
      <c r="CI24" s="537"/>
      <c r="CJ24" s="537"/>
      <c r="CK24" s="537"/>
      <c r="CL24" s="537"/>
      <c r="CM24" s="537"/>
      <c r="CN24" s="537"/>
      <c r="CO24" s="537"/>
      <c r="CP24" s="537"/>
      <c r="CQ24" s="537"/>
      <c r="CR24" s="537"/>
      <c r="CS24" s="537"/>
      <c r="CT24" s="537"/>
      <c r="CU24" s="537"/>
      <c r="CV24" s="537"/>
      <c r="CW24" s="537"/>
      <c r="CX24" s="537"/>
      <c r="CY24" s="537"/>
      <c r="CZ24" s="537"/>
      <c r="DA24" s="537"/>
      <c r="DB24" s="537"/>
      <c r="DC24" s="537"/>
      <c r="DD24" s="537"/>
      <c r="DE24" s="537"/>
      <c r="DF24" s="537"/>
      <c r="DG24" s="537"/>
      <c r="DH24" s="537"/>
      <c r="DI24" s="537"/>
      <c r="DJ24" s="537"/>
      <c r="DK24" s="537"/>
      <c r="DL24" s="537"/>
      <c r="DM24" s="537"/>
      <c r="DN24" s="537"/>
      <c r="DO24" s="537"/>
      <c r="DP24" s="537"/>
      <c r="DQ24" s="537"/>
      <c r="DR24" s="537"/>
      <c r="DS24" s="537"/>
      <c r="DT24" s="537"/>
      <c r="DU24" s="537"/>
      <c r="DV24" s="537"/>
      <c r="DW24" s="537"/>
      <c r="DX24" s="537"/>
      <c r="DY24" s="537"/>
      <c r="DZ24" s="537"/>
      <c r="EA24" s="537"/>
      <c r="EB24" s="537"/>
      <c r="EC24" s="537"/>
      <c r="ED24" s="537"/>
      <c r="EE24" s="537"/>
      <c r="EF24" s="537"/>
      <c r="EG24" s="537"/>
      <c r="EH24" s="537"/>
      <c r="EI24" s="537"/>
      <c r="EJ24" s="537"/>
      <c r="EK24" s="537"/>
      <c r="EL24" s="537"/>
      <c r="EM24" s="537"/>
      <c r="EN24" s="537"/>
      <c r="EO24" s="537"/>
      <c r="EP24" s="537"/>
      <c r="EQ24" s="537"/>
      <c r="ER24" s="537"/>
      <c r="ES24" s="537"/>
      <c r="ET24" s="537"/>
      <c r="EU24" s="537"/>
      <c r="EV24" s="537"/>
      <c r="EW24" s="537"/>
      <c r="EX24" s="537"/>
      <c r="EY24" s="537"/>
      <c r="EZ24" s="537"/>
      <c r="FA24" s="537"/>
      <c r="FB24" s="537"/>
      <c r="FC24" s="537"/>
      <c r="FD24" s="537"/>
      <c r="FE24" s="537"/>
      <c r="FF24" s="537"/>
      <c r="FG24" s="537"/>
      <c r="FH24" s="537"/>
      <c r="FI24" s="537"/>
      <c r="FJ24" s="537"/>
      <c r="FK24" s="537"/>
      <c r="FL24" s="537"/>
      <c r="FM24" s="537"/>
      <c r="FN24" s="537"/>
      <c r="FO24" s="537"/>
      <c r="FP24" s="537"/>
      <c r="FQ24" s="537"/>
      <c r="FR24" s="537"/>
      <c r="FS24" s="537"/>
      <c r="FT24" s="537"/>
      <c r="FU24" s="537"/>
      <c r="FV24" s="537"/>
      <c r="FW24" s="537"/>
      <c r="FX24" s="537"/>
      <c r="FY24" s="537"/>
      <c r="FZ24" s="537"/>
      <c r="GA24" s="537"/>
      <c r="GB24" s="537"/>
      <c r="GC24" s="537"/>
      <c r="GD24" s="537"/>
      <c r="GE24" s="537"/>
      <c r="GF24" s="537"/>
      <c r="GG24" s="537"/>
      <c r="GH24" s="537"/>
      <c r="GI24" s="537"/>
      <c r="GJ24" s="537"/>
      <c r="GK24" s="537"/>
      <c r="GL24" s="537"/>
      <c r="GM24" s="537"/>
      <c r="GN24" s="537"/>
      <c r="GO24" s="537"/>
      <c r="GP24" s="537"/>
      <c r="GQ24" s="537"/>
      <c r="GR24" s="537"/>
      <c r="GS24" s="537"/>
      <c r="GT24" s="537"/>
      <c r="GU24" s="537"/>
      <c r="GV24" s="537"/>
      <c r="GW24" s="537"/>
      <c r="GX24" s="537"/>
      <c r="GY24" s="537"/>
      <c r="GZ24" s="537"/>
      <c r="HA24" s="537"/>
      <c r="HB24" s="537"/>
      <c r="HC24" s="537"/>
      <c r="HD24" s="537"/>
      <c r="HE24" s="537"/>
      <c r="HF24" s="537"/>
      <c r="HG24" s="537"/>
      <c r="HH24" s="537"/>
      <c r="HI24" s="537"/>
      <c r="HJ24" s="537"/>
      <c r="HK24" s="537"/>
      <c r="HL24" s="537"/>
      <c r="HM24" s="537"/>
      <c r="HN24" s="537"/>
      <c r="HO24" s="537"/>
      <c r="HP24" s="537"/>
      <c r="HQ24" s="537"/>
      <c r="HR24" s="537"/>
      <c r="HS24" s="537"/>
      <c r="HT24" s="537"/>
      <c r="HU24" s="537"/>
      <c r="HV24" s="537"/>
      <c r="HW24" s="537"/>
      <c r="HX24" s="537"/>
      <c r="HY24" s="537"/>
      <c r="HZ24" s="537"/>
      <c r="IA24" s="537"/>
      <c r="IB24" s="537"/>
      <c r="IC24" s="537"/>
      <c r="ID24" s="537"/>
      <c r="IE24" s="537"/>
      <c r="IF24" s="537"/>
      <c r="IG24" s="537"/>
      <c r="IH24" s="537"/>
      <c r="II24" s="537"/>
      <c r="IJ24" s="537"/>
      <c r="IK24" s="537"/>
      <c r="IL24" s="537"/>
      <c r="IM24" s="537"/>
      <c r="IN24" s="537"/>
      <c r="IO24" s="537"/>
      <c r="IP24" s="537"/>
      <c r="IQ24" s="537"/>
      <c r="IR24" s="537"/>
      <c r="IS24" s="537"/>
      <c r="IT24" s="537"/>
      <c r="IU24" s="537"/>
      <c r="IV24" s="537"/>
      <c r="IW24" s="537"/>
    </row>
    <row r="25" customFormat="false" ht="12.75" hidden="false" customHeight="false" outlineLevel="0" collapsed="false">
      <c r="A25" s="540" t="s">
        <v>372</v>
      </c>
      <c r="B25" s="541" t="n">
        <f aca="false">Assumptions!$N$46</f>
        <v>15</v>
      </c>
      <c r="C25" s="542"/>
      <c r="D25" s="394" t="n">
        <f aca="false">D14</f>
        <v>0.05</v>
      </c>
      <c r="E25" s="394" t="n">
        <f aca="false">E14</f>
        <v>0.095</v>
      </c>
      <c r="F25" s="394" t="n">
        <f aca="false">F14</f>
        <v>0.0855</v>
      </c>
      <c r="G25" s="394" t="n">
        <f aca="false">G14</f>
        <v>0.077</v>
      </c>
      <c r="H25" s="394" t="n">
        <f aca="false">H14</f>
        <v>0.0693</v>
      </c>
      <c r="I25" s="394" t="n">
        <f aca="false">I14</f>
        <v>0.0623</v>
      </c>
      <c r="J25" s="394" t="n">
        <f aca="false">J14</f>
        <v>0.059</v>
      </c>
      <c r="K25" s="394" t="n">
        <f aca="false">K14</f>
        <v>0.0591</v>
      </c>
      <c r="L25" s="394" t="n">
        <f aca="false">L14</f>
        <v>0.059</v>
      </c>
      <c r="M25" s="394" t="n">
        <f aca="false">M14</f>
        <v>0.0591</v>
      </c>
      <c r="N25" s="394" t="n">
        <f aca="false">N14</f>
        <v>0.059</v>
      </c>
      <c r="O25" s="394" t="n">
        <f aca="false">O14</f>
        <v>0.0591</v>
      </c>
      <c r="P25" s="394" t="n">
        <f aca="false">P14</f>
        <v>0.059</v>
      </c>
      <c r="Q25" s="394" t="n">
        <f aca="false">Q14</f>
        <v>0.0591</v>
      </c>
      <c r="R25" s="394" t="n">
        <f aca="false">R14</f>
        <v>0.059</v>
      </c>
      <c r="S25" s="394" t="n">
        <f aca="false">S14</f>
        <v>0.0295</v>
      </c>
      <c r="T25" s="394" t="n">
        <f aca="false">T14</f>
        <v>0</v>
      </c>
      <c r="U25" s="394" t="n">
        <f aca="false">U14</f>
        <v>0</v>
      </c>
      <c r="V25" s="394" t="n">
        <f aca="false">V14</f>
        <v>0</v>
      </c>
      <c r="W25" s="394" t="n">
        <f aca="false">W14</f>
        <v>0</v>
      </c>
      <c r="X25" s="394" t="n">
        <f aca="false">X14</f>
        <v>0</v>
      </c>
      <c r="Y25" s="394" t="n">
        <f aca="false">Y14</f>
        <v>0</v>
      </c>
      <c r="Z25" s="394" t="n">
        <f aca="false">Z14</f>
        <v>0</v>
      </c>
      <c r="AA25" s="394" t="n">
        <f aca="false">AA14</f>
        <v>0</v>
      </c>
      <c r="AB25" s="394" t="n">
        <f aca="false">AB14</f>
        <v>0</v>
      </c>
      <c r="AC25" s="394" t="n">
        <f aca="false">AC14</f>
        <v>0</v>
      </c>
      <c r="AD25" s="394" t="n">
        <f aca="false">AD14</f>
        <v>0</v>
      </c>
      <c r="AE25" s="394" t="n">
        <f aca="false">AE14</f>
        <v>0</v>
      </c>
      <c r="AF25" s="394" t="n">
        <f aca="false">AF14</f>
        <v>0</v>
      </c>
      <c r="AG25" s="394" t="n">
        <f aca="false">AG14</f>
        <v>0</v>
      </c>
      <c r="AH25" s="394" t="n">
        <f aca="false">AH14</f>
        <v>0</v>
      </c>
      <c r="AI25" s="537"/>
      <c r="AJ25" s="537"/>
      <c r="AK25" s="537"/>
      <c r="AL25" s="537"/>
      <c r="AM25" s="537"/>
      <c r="AN25" s="537"/>
      <c r="AO25" s="537"/>
      <c r="AP25" s="537"/>
      <c r="AQ25" s="537"/>
      <c r="AR25" s="537"/>
      <c r="AS25" s="537"/>
      <c r="AT25" s="537"/>
      <c r="AU25" s="537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7"/>
      <c r="BX25" s="537"/>
      <c r="BY25" s="537"/>
      <c r="BZ25" s="537"/>
      <c r="CA25" s="537"/>
      <c r="CB25" s="537"/>
      <c r="CC25" s="537"/>
      <c r="CD25" s="537"/>
      <c r="CE25" s="537"/>
      <c r="CF25" s="537"/>
      <c r="CG25" s="537"/>
      <c r="CH25" s="537"/>
      <c r="CI25" s="537"/>
      <c r="CJ25" s="537"/>
      <c r="CK25" s="537"/>
      <c r="CL25" s="537"/>
      <c r="CM25" s="537"/>
      <c r="CN25" s="537"/>
      <c r="CO25" s="537"/>
      <c r="CP25" s="537"/>
      <c r="CQ25" s="537"/>
      <c r="CR25" s="537"/>
      <c r="CS25" s="537"/>
      <c r="CT25" s="537"/>
      <c r="CU25" s="537"/>
      <c r="CV25" s="537"/>
      <c r="CW25" s="537"/>
      <c r="CX25" s="537"/>
      <c r="CY25" s="537"/>
      <c r="CZ25" s="537"/>
      <c r="DA25" s="537"/>
      <c r="DB25" s="537"/>
      <c r="DC25" s="537"/>
      <c r="DD25" s="537"/>
      <c r="DE25" s="537"/>
      <c r="DF25" s="537"/>
      <c r="DG25" s="537"/>
      <c r="DH25" s="537"/>
      <c r="DI25" s="537"/>
      <c r="DJ25" s="537"/>
      <c r="DK25" s="537"/>
      <c r="DL25" s="537"/>
      <c r="DM25" s="537"/>
      <c r="DN25" s="537"/>
      <c r="DO25" s="537"/>
      <c r="DP25" s="537"/>
      <c r="DQ25" s="537"/>
      <c r="DR25" s="537"/>
      <c r="DS25" s="537"/>
      <c r="DT25" s="537"/>
      <c r="DU25" s="537"/>
      <c r="DV25" s="537"/>
      <c r="DW25" s="537"/>
      <c r="DX25" s="537"/>
      <c r="DY25" s="537"/>
      <c r="DZ25" s="537"/>
      <c r="EA25" s="537"/>
      <c r="EB25" s="537"/>
      <c r="EC25" s="537"/>
      <c r="ED25" s="537"/>
      <c r="EE25" s="537"/>
      <c r="EF25" s="537"/>
      <c r="EG25" s="537"/>
      <c r="EH25" s="537"/>
      <c r="EI25" s="537"/>
      <c r="EJ25" s="537"/>
      <c r="EK25" s="537"/>
      <c r="EL25" s="537"/>
      <c r="EM25" s="537"/>
      <c r="EN25" s="537"/>
      <c r="EO25" s="537"/>
      <c r="EP25" s="537"/>
      <c r="EQ25" s="537"/>
      <c r="ER25" s="537"/>
      <c r="ES25" s="537"/>
      <c r="ET25" s="537"/>
      <c r="EU25" s="537"/>
      <c r="EV25" s="537"/>
      <c r="EW25" s="537"/>
      <c r="EX25" s="537"/>
      <c r="EY25" s="537"/>
      <c r="EZ25" s="537"/>
      <c r="FA25" s="537"/>
      <c r="FB25" s="537"/>
      <c r="FC25" s="537"/>
      <c r="FD25" s="537"/>
      <c r="FE25" s="537"/>
      <c r="FF25" s="537"/>
      <c r="FG25" s="537"/>
      <c r="FH25" s="537"/>
      <c r="FI25" s="537"/>
      <c r="FJ25" s="537"/>
      <c r="FK25" s="537"/>
      <c r="FL25" s="537"/>
      <c r="FM25" s="537"/>
      <c r="FN25" s="537"/>
      <c r="FO25" s="537"/>
      <c r="FP25" s="537"/>
      <c r="FQ25" s="537"/>
      <c r="FR25" s="537"/>
      <c r="FS25" s="537"/>
      <c r="FT25" s="537"/>
      <c r="FU25" s="537"/>
      <c r="FV25" s="537"/>
      <c r="FW25" s="537"/>
      <c r="FX25" s="537"/>
      <c r="FY25" s="537"/>
      <c r="FZ25" s="537"/>
      <c r="GA25" s="537"/>
      <c r="GB25" s="537"/>
      <c r="GC25" s="537"/>
      <c r="GD25" s="537"/>
      <c r="GE25" s="537"/>
      <c r="GF25" s="537"/>
      <c r="GG25" s="537"/>
      <c r="GH25" s="537"/>
      <c r="GI25" s="537"/>
      <c r="GJ25" s="537"/>
      <c r="GK25" s="537"/>
      <c r="GL25" s="537"/>
      <c r="GM25" s="537"/>
      <c r="GN25" s="537"/>
      <c r="GO25" s="537"/>
      <c r="GP25" s="537"/>
      <c r="GQ25" s="537"/>
      <c r="GR25" s="537"/>
      <c r="GS25" s="537"/>
      <c r="GT25" s="537"/>
      <c r="GU25" s="537"/>
      <c r="GV25" s="537"/>
      <c r="GW25" s="537"/>
      <c r="GX25" s="537"/>
      <c r="GY25" s="537"/>
      <c r="GZ25" s="537"/>
      <c r="HA25" s="537"/>
      <c r="HB25" s="537"/>
      <c r="HC25" s="537"/>
      <c r="HD25" s="537"/>
      <c r="HE25" s="537"/>
      <c r="HF25" s="537"/>
      <c r="HG25" s="537"/>
      <c r="HH25" s="537"/>
      <c r="HI25" s="537"/>
      <c r="HJ25" s="537"/>
      <c r="HK25" s="537"/>
      <c r="HL25" s="537"/>
      <c r="HM25" s="537"/>
      <c r="HN25" s="537"/>
      <c r="HO25" s="537"/>
      <c r="HP25" s="537"/>
      <c r="HQ25" s="537"/>
      <c r="HR25" s="537"/>
      <c r="HS25" s="537"/>
      <c r="HT25" s="537"/>
      <c r="HU25" s="537"/>
      <c r="HV25" s="537"/>
      <c r="HW25" s="537"/>
      <c r="HX25" s="537"/>
      <c r="HY25" s="537"/>
      <c r="HZ25" s="537"/>
      <c r="IA25" s="537"/>
      <c r="IB25" s="537"/>
      <c r="IC25" s="537"/>
      <c r="ID25" s="537"/>
      <c r="IE25" s="537"/>
      <c r="IF25" s="537"/>
      <c r="IG25" s="537"/>
      <c r="IH25" s="537"/>
      <c r="II25" s="537"/>
      <c r="IJ25" s="537"/>
      <c r="IK25" s="537"/>
      <c r="IL25" s="537"/>
      <c r="IM25" s="537"/>
      <c r="IN25" s="537"/>
      <c r="IO25" s="537"/>
      <c r="IP25" s="537"/>
      <c r="IQ25" s="537"/>
      <c r="IR25" s="537"/>
      <c r="IS25" s="537"/>
      <c r="IT25" s="537"/>
      <c r="IU25" s="537"/>
      <c r="IV25" s="537"/>
      <c r="IW25" s="537"/>
    </row>
    <row r="26" customFormat="false" ht="12.75" hidden="false" customHeight="false" outlineLevel="0" collapsed="false">
      <c r="A26" s="544" t="s">
        <v>373</v>
      </c>
      <c r="B26" s="545" t="n">
        <f aca="false">Assumptions!$N$47</f>
        <v>20</v>
      </c>
      <c r="C26" s="542"/>
      <c r="D26" s="394" t="n">
        <f aca="false">D15</f>
        <v>0.0333333333333333</v>
      </c>
      <c r="E26" s="394" t="n">
        <f aca="false">E15</f>
        <v>0.05</v>
      </c>
      <c r="F26" s="394" t="n">
        <f aca="false">F15</f>
        <v>0.05</v>
      </c>
      <c r="G26" s="394" t="n">
        <f aca="false">G15</f>
        <v>0.05</v>
      </c>
      <c r="H26" s="394" t="n">
        <f aca="false">H15</f>
        <v>0.05</v>
      </c>
      <c r="I26" s="394" t="n">
        <f aca="false">I15</f>
        <v>0.05</v>
      </c>
      <c r="J26" s="394" t="n">
        <f aca="false">J15</f>
        <v>0.05</v>
      </c>
      <c r="K26" s="394" t="n">
        <f aca="false">K15</f>
        <v>0.05</v>
      </c>
      <c r="L26" s="394" t="n">
        <f aca="false">L15</f>
        <v>0.05</v>
      </c>
      <c r="M26" s="394" t="n">
        <f aca="false">M15</f>
        <v>0.05</v>
      </c>
      <c r="N26" s="394" t="n">
        <f aca="false">N15</f>
        <v>0.05</v>
      </c>
      <c r="O26" s="394" t="n">
        <f aca="false">O15</f>
        <v>0.05</v>
      </c>
      <c r="P26" s="394" t="n">
        <f aca="false">P15</f>
        <v>0.05</v>
      </c>
      <c r="Q26" s="394" t="n">
        <f aca="false">Q15</f>
        <v>0.05</v>
      </c>
      <c r="R26" s="394" t="n">
        <f aca="false">R15</f>
        <v>0.05</v>
      </c>
      <c r="S26" s="394" t="n">
        <f aca="false">S15</f>
        <v>0.05</v>
      </c>
      <c r="T26" s="394" t="n">
        <f aca="false">T15</f>
        <v>0.05</v>
      </c>
      <c r="U26" s="394" t="n">
        <f aca="false">U15</f>
        <v>0.05</v>
      </c>
      <c r="V26" s="394" t="n">
        <f aca="false">V15</f>
        <v>0.05</v>
      </c>
      <c r="W26" s="394" t="n">
        <f aca="false">W15</f>
        <v>0.05</v>
      </c>
      <c r="X26" s="394" t="n">
        <f aca="false">X15</f>
        <v>0.0166666666666667</v>
      </c>
      <c r="Y26" s="394" t="n">
        <f aca="false">Y15</f>
        <v>0</v>
      </c>
      <c r="Z26" s="394" t="n">
        <f aca="false">Z15</f>
        <v>0</v>
      </c>
      <c r="AA26" s="394" t="n">
        <f aca="false">AA15</f>
        <v>0</v>
      </c>
      <c r="AB26" s="394" t="n">
        <f aca="false">AB15</f>
        <v>0</v>
      </c>
      <c r="AC26" s="394" t="n">
        <f aca="false">AC15</f>
        <v>0</v>
      </c>
      <c r="AD26" s="394" t="n">
        <f aca="false">AD15</f>
        <v>0</v>
      </c>
      <c r="AE26" s="394" t="n">
        <f aca="false">AE15</f>
        <v>0</v>
      </c>
      <c r="AF26" s="394" t="n">
        <f aca="false">AF15</f>
        <v>0</v>
      </c>
      <c r="AG26" s="394" t="n">
        <f aca="false">AG15</f>
        <v>0</v>
      </c>
      <c r="AH26" s="394" t="n">
        <f aca="false">AH15</f>
        <v>0</v>
      </c>
      <c r="AI26" s="537"/>
      <c r="AJ26" s="537"/>
      <c r="AK26" s="537"/>
      <c r="AL26" s="537"/>
      <c r="AM26" s="537"/>
      <c r="AN26" s="537"/>
      <c r="AO26" s="537"/>
      <c r="AP26" s="537"/>
      <c r="AQ26" s="537"/>
      <c r="AR26" s="537"/>
      <c r="AS26" s="537"/>
      <c r="AT26" s="537"/>
      <c r="AU26" s="537"/>
      <c r="AV26" s="537"/>
      <c r="AW26" s="537"/>
      <c r="AX26" s="537"/>
      <c r="AY26" s="537"/>
      <c r="AZ26" s="537"/>
      <c r="BA26" s="537"/>
      <c r="BB26" s="537"/>
      <c r="BC26" s="537"/>
      <c r="BD26" s="537"/>
      <c r="BE26" s="537"/>
      <c r="BF26" s="537"/>
      <c r="BG26" s="537"/>
      <c r="BH26" s="537"/>
      <c r="BI26" s="537"/>
      <c r="BJ26" s="537"/>
      <c r="BK26" s="537"/>
      <c r="BL26" s="537"/>
      <c r="BM26" s="537"/>
      <c r="BN26" s="537"/>
      <c r="BO26" s="537"/>
      <c r="BP26" s="537"/>
      <c r="BQ26" s="537"/>
      <c r="BR26" s="537"/>
      <c r="BS26" s="537"/>
      <c r="BT26" s="537"/>
      <c r="BU26" s="537"/>
      <c r="BV26" s="537"/>
      <c r="BW26" s="537"/>
      <c r="BX26" s="537"/>
      <c r="BY26" s="537"/>
      <c r="BZ26" s="537"/>
      <c r="CA26" s="537"/>
      <c r="CB26" s="537"/>
      <c r="CC26" s="537"/>
      <c r="CD26" s="537"/>
      <c r="CE26" s="537"/>
      <c r="CF26" s="537"/>
      <c r="CG26" s="537"/>
      <c r="CH26" s="537"/>
      <c r="CI26" s="537"/>
      <c r="CJ26" s="537"/>
      <c r="CK26" s="537"/>
      <c r="CL26" s="537"/>
      <c r="CM26" s="537"/>
      <c r="CN26" s="537"/>
      <c r="CO26" s="537"/>
      <c r="CP26" s="537"/>
      <c r="CQ26" s="537"/>
      <c r="CR26" s="537"/>
      <c r="CS26" s="537"/>
      <c r="CT26" s="537"/>
      <c r="CU26" s="537"/>
      <c r="CV26" s="537"/>
      <c r="CW26" s="537"/>
      <c r="CX26" s="537"/>
      <c r="CY26" s="537"/>
      <c r="CZ26" s="537"/>
      <c r="DA26" s="537"/>
      <c r="DB26" s="537"/>
      <c r="DC26" s="537"/>
      <c r="DD26" s="537"/>
      <c r="DE26" s="537"/>
      <c r="DF26" s="537"/>
      <c r="DG26" s="537"/>
      <c r="DH26" s="537"/>
      <c r="DI26" s="537"/>
      <c r="DJ26" s="537"/>
      <c r="DK26" s="537"/>
      <c r="DL26" s="537"/>
      <c r="DM26" s="537"/>
      <c r="DN26" s="537"/>
      <c r="DO26" s="537"/>
      <c r="DP26" s="537"/>
      <c r="DQ26" s="537"/>
      <c r="DR26" s="537"/>
      <c r="DS26" s="537"/>
      <c r="DT26" s="537"/>
      <c r="DU26" s="537"/>
      <c r="DV26" s="537"/>
      <c r="DW26" s="537"/>
      <c r="DX26" s="537"/>
      <c r="DY26" s="537"/>
      <c r="DZ26" s="537"/>
      <c r="EA26" s="537"/>
      <c r="EB26" s="537"/>
      <c r="EC26" s="537"/>
      <c r="ED26" s="537"/>
      <c r="EE26" s="537"/>
      <c r="EF26" s="537"/>
      <c r="EG26" s="537"/>
      <c r="EH26" s="537"/>
      <c r="EI26" s="537"/>
      <c r="EJ26" s="537"/>
      <c r="EK26" s="537"/>
      <c r="EL26" s="537"/>
      <c r="EM26" s="537"/>
      <c r="EN26" s="537"/>
      <c r="EO26" s="537"/>
      <c r="EP26" s="537"/>
      <c r="EQ26" s="537"/>
      <c r="ER26" s="537"/>
      <c r="ES26" s="537"/>
      <c r="ET26" s="537"/>
      <c r="EU26" s="537"/>
      <c r="EV26" s="537"/>
      <c r="EW26" s="537"/>
      <c r="EX26" s="537"/>
      <c r="EY26" s="537"/>
      <c r="EZ26" s="537"/>
      <c r="FA26" s="537"/>
      <c r="FB26" s="537"/>
      <c r="FC26" s="537"/>
      <c r="FD26" s="537"/>
      <c r="FE26" s="537"/>
      <c r="FF26" s="537"/>
      <c r="FG26" s="537"/>
      <c r="FH26" s="537"/>
      <c r="FI26" s="537"/>
      <c r="FJ26" s="537"/>
      <c r="FK26" s="537"/>
      <c r="FL26" s="537"/>
      <c r="FM26" s="537"/>
      <c r="FN26" s="537"/>
      <c r="FO26" s="537"/>
      <c r="FP26" s="537"/>
      <c r="FQ26" s="537"/>
      <c r="FR26" s="537"/>
      <c r="FS26" s="537"/>
      <c r="FT26" s="537"/>
      <c r="FU26" s="537"/>
      <c r="FV26" s="537"/>
      <c r="FW26" s="537"/>
      <c r="FX26" s="537"/>
      <c r="FY26" s="537"/>
      <c r="FZ26" s="537"/>
      <c r="GA26" s="537"/>
      <c r="GB26" s="537"/>
      <c r="GC26" s="537"/>
      <c r="GD26" s="537"/>
      <c r="GE26" s="537"/>
      <c r="GF26" s="537"/>
      <c r="GG26" s="537"/>
      <c r="GH26" s="537"/>
      <c r="GI26" s="537"/>
      <c r="GJ26" s="537"/>
      <c r="GK26" s="537"/>
      <c r="GL26" s="537"/>
      <c r="GM26" s="537"/>
      <c r="GN26" s="537"/>
      <c r="GO26" s="537"/>
      <c r="GP26" s="537"/>
      <c r="GQ26" s="537"/>
      <c r="GR26" s="537"/>
      <c r="GS26" s="537"/>
      <c r="GT26" s="537"/>
      <c r="GU26" s="537"/>
      <c r="GV26" s="537"/>
      <c r="GW26" s="537"/>
      <c r="GX26" s="537"/>
      <c r="GY26" s="537"/>
      <c r="GZ26" s="537"/>
      <c r="HA26" s="537"/>
      <c r="HB26" s="537"/>
      <c r="HC26" s="537"/>
      <c r="HD26" s="537"/>
      <c r="HE26" s="537"/>
      <c r="HF26" s="537"/>
      <c r="HG26" s="537"/>
      <c r="HH26" s="537"/>
      <c r="HI26" s="537"/>
      <c r="HJ26" s="537"/>
      <c r="HK26" s="537"/>
      <c r="HL26" s="537"/>
      <c r="HM26" s="537"/>
      <c r="HN26" s="537"/>
      <c r="HO26" s="537"/>
      <c r="HP26" s="537"/>
      <c r="HQ26" s="537"/>
      <c r="HR26" s="537"/>
      <c r="HS26" s="537"/>
      <c r="HT26" s="537"/>
      <c r="HU26" s="537"/>
      <c r="HV26" s="537"/>
      <c r="HW26" s="537"/>
      <c r="HX26" s="537"/>
      <c r="HY26" s="537"/>
      <c r="HZ26" s="537"/>
      <c r="IA26" s="537"/>
      <c r="IB26" s="537"/>
      <c r="IC26" s="537"/>
      <c r="ID26" s="537"/>
      <c r="IE26" s="537"/>
      <c r="IF26" s="537"/>
      <c r="IG26" s="537"/>
      <c r="IH26" s="537"/>
      <c r="II26" s="537"/>
      <c r="IJ26" s="537"/>
      <c r="IK26" s="537"/>
      <c r="IL26" s="537"/>
      <c r="IM26" s="537"/>
      <c r="IN26" s="537"/>
      <c r="IO26" s="537"/>
      <c r="IP26" s="537"/>
      <c r="IQ26" s="537"/>
      <c r="IR26" s="537"/>
      <c r="IS26" s="537"/>
      <c r="IT26" s="537"/>
      <c r="IU26" s="537"/>
      <c r="IV26" s="537"/>
      <c r="IW26" s="537"/>
    </row>
    <row r="27" customFormat="false" ht="12.75" hidden="false" customHeight="false" outlineLevel="0" collapsed="false">
      <c r="A27" s="553"/>
      <c r="B27" s="541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537"/>
      <c r="AJ27" s="537"/>
      <c r="AK27" s="537"/>
      <c r="AL27" s="537"/>
      <c r="AM27" s="537"/>
      <c r="AN27" s="537"/>
      <c r="AO27" s="537"/>
      <c r="AP27" s="537"/>
      <c r="AQ27" s="537"/>
      <c r="AR27" s="537"/>
      <c r="AS27" s="537"/>
      <c r="AT27" s="537"/>
      <c r="AU27" s="537"/>
      <c r="AV27" s="537"/>
      <c r="AW27" s="537"/>
      <c r="AX27" s="537"/>
      <c r="AY27" s="537"/>
      <c r="AZ27" s="537"/>
      <c r="BA27" s="537"/>
      <c r="BB27" s="537"/>
      <c r="BC27" s="537"/>
      <c r="BD27" s="537"/>
      <c r="BE27" s="537"/>
      <c r="BF27" s="537"/>
      <c r="BG27" s="537"/>
      <c r="BH27" s="537"/>
      <c r="BI27" s="537"/>
      <c r="BJ27" s="537"/>
      <c r="BK27" s="537"/>
      <c r="BL27" s="537"/>
      <c r="BM27" s="537"/>
      <c r="BN27" s="537"/>
      <c r="BO27" s="537"/>
      <c r="BP27" s="537"/>
      <c r="BQ27" s="537"/>
      <c r="BR27" s="537"/>
      <c r="BS27" s="537"/>
      <c r="BT27" s="537"/>
      <c r="BU27" s="537"/>
      <c r="BV27" s="537"/>
      <c r="BW27" s="537"/>
      <c r="BX27" s="537"/>
      <c r="BY27" s="537"/>
      <c r="BZ27" s="537"/>
      <c r="CA27" s="537"/>
      <c r="CB27" s="537"/>
      <c r="CC27" s="537"/>
      <c r="CD27" s="537"/>
      <c r="CE27" s="537"/>
      <c r="CF27" s="537"/>
      <c r="CG27" s="537"/>
      <c r="CH27" s="537"/>
      <c r="CI27" s="537"/>
      <c r="CJ27" s="537"/>
      <c r="CK27" s="537"/>
      <c r="CL27" s="537"/>
      <c r="CM27" s="537"/>
      <c r="CN27" s="537"/>
      <c r="CO27" s="537"/>
      <c r="CP27" s="537"/>
      <c r="CQ27" s="537"/>
      <c r="CR27" s="537"/>
      <c r="CS27" s="537"/>
      <c r="CT27" s="537"/>
      <c r="CU27" s="537"/>
      <c r="CV27" s="537"/>
      <c r="CW27" s="537"/>
      <c r="CX27" s="537"/>
      <c r="CY27" s="537"/>
      <c r="CZ27" s="537"/>
      <c r="DA27" s="537"/>
      <c r="DB27" s="537"/>
      <c r="DC27" s="537"/>
      <c r="DD27" s="537"/>
      <c r="DE27" s="537"/>
      <c r="DF27" s="537"/>
      <c r="DG27" s="537"/>
      <c r="DH27" s="537"/>
      <c r="DI27" s="537"/>
      <c r="DJ27" s="537"/>
      <c r="DK27" s="537"/>
      <c r="DL27" s="537"/>
      <c r="DM27" s="537"/>
      <c r="DN27" s="537"/>
      <c r="DO27" s="537"/>
      <c r="DP27" s="537"/>
      <c r="DQ27" s="537"/>
      <c r="DR27" s="537"/>
      <c r="DS27" s="537"/>
      <c r="DT27" s="537"/>
      <c r="DU27" s="537"/>
      <c r="DV27" s="537"/>
      <c r="DW27" s="537"/>
      <c r="DX27" s="537"/>
      <c r="DY27" s="537"/>
      <c r="DZ27" s="537"/>
      <c r="EA27" s="537"/>
      <c r="EB27" s="537"/>
      <c r="EC27" s="537"/>
      <c r="ED27" s="537"/>
      <c r="EE27" s="537"/>
      <c r="EF27" s="537"/>
      <c r="EG27" s="537"/>
      <c r="EH27" s="537"/>
      <c r="EI27" s="537"/>
      <c r="EJ27" s="537"/>
      <c r="EK27" s="537"/>
      <c r="EL27" s="537"/>
      <c r="EM27" s="537"/>
      <c r="EN27" s="537"/>
      <c r="EO27" s="537"/>
      <c r="EP27" s="537"/>
      <c r="EQ27" s="537"/>
      <c r="ER27" s="537"/>
      <c r="ES27" s="537"/>
      <c r="ET27" s="537"/>
      <c r="EU27" s="537"/>
      <c r="EV27" s="537"/>
      <c r="EW27" s="537"/>
      <c r="EX27" s="537"/>
      <c r="EY27" s="537"/>
      <c r="EZ27" s="537"/>
      <c r="FA27" s="537"/>
      <c r="FB27" s="537"/>
      <c r="FC27" s="537"/>
      <c r="FD27" s="537"/>
      <c r="FE27" s="537"/>
      <c r="FF27" s="537"/>
      <c r="FG27" s="537"/>
      <c r="FH27" s="537"/>
      <c r="FI27" s="537"/>
      <c r="FJ27" s="537"/>
      <c r="FK27" s="537"/>
      <c r="FL27" s="537"/>
      <c r="FM27" s="537"/>
      <c r="FN27" s="537"/>
      <c r="FO27" s="537"/>
      <c r="FP27" s="537"/>
      <c r="FQ27" s="537"/>
      <c r="FR27" s="537"/>
      <c r="FS27" s="537"/>
      <c r="FT27" s="537"/>
      <c r="FU27" s="537"/>
      <c r="FV27" s="537"/>
      <c r="FW27" s="537"/>
      <c r="FX27" s="537"/>
      <c r="FY27" s="537"/>
      <c r="FZ27" s="537"/>
      <c r="GA27" s="537"/>
      <c r="GB27" s="537"/>
      <c r="GC27" s="537"/>
      <c r="GD27" s="537"/>
      <c r="GE27" s="537"/>
      <c r="GF27" s="537"/>
      <c r="GG27" s="537"/>
      <c r="GH27" s="537"/>
      <c r="GI27" s="537"/>
      <c r="GJ27" s="537"/>
      <c r="GK27" s="537"/>
      <c r="GL27" s="537"/>
      <c r="GM27" s="537"/>
      <c r="GN27" s="537"/>
      <c r="GO27" s="537"/>
      <c r="GP27" s="537"/>
      <c r="GQ27" s="537"/>
      <c r="GR27" s="537"/>
      <c r="GS27" s="537"/>
      <c r="GT27" s="537"/>
      <c r="GU27" s="537"/>
      <c r="GV27" s="537"/>
      <c r="GW27" s="537"/>
      <c r="GX27" s="537"/>
      <c r="GY27" s="537"/>
      <c r="GZ27" s="537"/>
      <c r="HA27" s="537"/>
      <c r="HB27" s="537"/>
      <c r="HC27" s="537"/>
      <c r="HD27" s="537"/>
      <c r="HE27" s="537"/>
      <c r="HF27" s="537"/>
      <c r="HG27" s="537"/>
      <c r="HH27" s="537"/>
      <c r="HI27" s="537"/>
      <c r="HJ27" s="537"/>
      <c r="HK27" s="537"/>
      <c r="HL27" s="537"/>
      <c r="HM27" s="537"/>
      <c r="HN27" s="537"/>
      <c r="HO27" s="537"/>
      <c r="HP27" s="537"/>
      <c r="HQ27" s="537"/>
      <c r="HR27" s="537"/>
      <c r="HS27" s="537"/>
      <c r="HT27" s="537"/>
      <c r="HU27" s="537"/>
      <c r="HV27" s="537"/>
      <c r="HW27" s="537"/>
      <c r="HX27" s="537"/>
      <c r="HY27" s="537"/>
      <c r="HZ27" s="537"/>
      <c r="IA27" s="537"/>
      <c r="IB27" s="537"/>
      <c r="IC27" s="537"/>
      <c r="ID27" s="537"/>
      <c r="IE27" s="537"/>
      <c r="IF27" s="537"/>
      <c r="IG27" s="537"/>
      <c r="IH27" s="537"/>
      <c r="II27" s="537"/>
      <c r="IJ27" s="537"/>
      <c r="IK27" s="537"/>
      <c r="IL27" s="537"/>
      <c r="IM27" s="537"/>
      <c r="IN27" s="537"/>
      <c r="IO27" s="537"/>
      <c r="IP27" s="537"/>
      <c r="IQ27" s="537"/>
      <c r="IR27" s="537"/>
      <c r="IS27" s="537"/>
      <c r="IT27" s="537"/>
      <c r="IU27" s="537"/>
      <c r="IV27" s="537"/>
      <c r="IW27" s="537"/>
    </row>
    <row r="28" customFormat="false" ht="12.75" hidden="false" customHeight="false" outlineLevel="0" collapsed="false">
      <c r="B28" s="538"/>
      <c r="AI28" s="537"/>
      <c r="AJ28" s="537"/>
      <c r="AK28" s="537"/>
      <c r="AL28" s="537"/>
      <c r="AM28" s="537"/>
      <c r="AN28" s="537"/>
      <c r="AO28" s="537"/>
      <c r="AP28" s="537"/>
      <c r="AQ28" s="537"/>
      <c r="AR28" s="537"/>
      <c r="AS28" s="537"/>
      <c r="AT28" s="537"/>
      <c r="AU28" s="537"/>
      <c r="AV28" s="537"/>
      <c r="AW28" s="537"/>
      <c r="AX28" s="537"/>
      <c r="AY28" s="537"/>
      <c r="AZ28" s="537"/>
      <c r="BA28" s="537"/>
      <c r="BB28" s="537"/>
      <c r="BC28" s="537"/>
      <c r="BD28" s="537"/>
      <c r="BE28" s="537"/>
      <c r="BF28" s="537"/>
      <c r="BG28" s="537"/>
      <c r="BH28" s="537"/>
      <c r="BI28" s="537"/>
      <c r="BJ28" s="537"/>
      <c r="BK28" s="537"/>
      <c r="BL28" s="537"/>
      <c r="BM28" s="537"/>
      <c r="BN28" s="537"/>
      <c r="BO28" s="537"/>
      <c r="BP28" s="537"/>
      <c r="BQ28" s="537"/>
      <c r="BR28" s="537"/>
      <c r="BS28" s="537"/>
      <c r="BT28" s="537"/>
      <c r="BU28" s="537"/>
      <c r="BV28" s="537"/>
      <c r="BW28" s="537"/>
      <c r="BX28" s="537"/>
      <c r="BY28" s="537"/>
      <c r="BZ28" s="537"/>
      <c r="CA28" s="537"/>
      <c r="CB28" s="537"/>
      <c r="CC28" s="537"/>
      <c r="CD28" s="537"/>
      <c r="CE28" s="537"/>
      <c r="CF28" s="537"/>
      <c r="CG28" s="537"/>
      <c r="CH28" s="537"/>
      <c r="CI28" s="537"/>
      <c r="CJ28" s="537"/>
      <c r="CK28" s="537"/>
      <c r="CL28" s="537"/>
      <c r="CM28" s="537"/>
      <c r="CN28" s="537"/>
      <c r="CO28" s="537"/>
      <c r="CP28" s="537"/>
      <c r="CQ28" s="537"/>
      <c r="CR28" s="537"/>
      <c r="CS28" s="537"/>
      <c r="CT28" s="537"/>
      <c r="CU28" s="537"/>
      <c r="CV28" s="537"/>
      <c r="CW28" s="537"/>
      <c r="CX28" s="537"/>
      <c r="CY28" s="537"/>
      <c r="CZ28" s="537"/>
      <c r="DA28" s="537"/>
      <c r="DB28" s="537"/>
      <c r="DC28" s="537"/>
      <c r="DD28" s="537"/>
      <c r="DE28" s="537"/>
      <c r="DF28" s="537"/>
      <c r="DG28" s="537"/>
      <c r="DH28" s="537"/>
      <c r="DI28" s="537"/>
      <c r="DJ28" s="537"/>
      <c r="DK28" s="537"/>
      <c r="DL28" s="537"/>
      <c r="DM28" s="537"/>
      <c r="DN28" s="537"/>
      <c r="DO28" s="537"/>
      <c r="DP28" s="537"/>
      <c r="DQ28" s="537"/>
      <c r="DR28" s="537"/>
      <c r="DS28" s="537"/>
      <c r="DT28" s="537"/>
      <c r="DU28" s="537"/>
      <c r="DV28" s="537"/>
      <c r="DW28" s="537"/>
      <c r="DX28" s="537"/>
      <c r="DY28" s="537"/>
      <c r="DZ28" s="537"/>
      <c r="EA28" s="537"/>
      <c r="EB28" s="537"/>
      <c r="EC28" s="537"/>
      <c r="ED28" s="537"/>
      <c r="EE28" s="537"/>
      <c r="EF28" s="537"/>
      <c r="EG28" s="537"/>
      <c r="EH28" s="537"/>
      <c r="EI28" s="537"/>
      <c r="EJ28" s="537"/>
      <c r="EK28" s="537"/>
      <c r="EL28" s="537"/>
      <c r="EM28" s="537"/>
      <c r="EN28" s="537"/>
      <c r="EO28" s="537"/>
      <c r="EP28" s="537"/>
      <c r="EQ28" s="537"/>
      <c r="ER28" s="537"/>
      <c r="ES28" s="537"/>
      <c r="ET28" s="537"/>
      <c r="EU28" s="537"/>
      <c r="EV28" s="537"/>
      <c r="EW28" s="537"/>
      <c r="EX28" s="537"/>
      <c r="EY28" s="537"/>
      <c r="EZ28" s="537"/>
      <c r="FA28" s="537"/>
      <c r="FB28" s="537"/>
      <c r="FC28" s="537"/>
      <c r="FD28" s="537"/>
      <c r="FE28" s="537"/>
      <c r="FF28" s="537"/>
      <c r="FG28" s="537"/>
      <c r="FH28" s="537"/>
      <c r="FI28" s="537"/>
      <c r="FJ28" s="537"/>
      <c r="FK28" s="537"/>
      <c r="FL28" s="537"/>
      <c r="FM28" s="537"/>
      <c r="FN28" s="537"/>
      <c r="FO28" s="537"/>
      <c r="FP28" s="537"/>
      <c r="FQ28" s="537"/>
      <c r="FR28" s="537"/>
      <c r="FS28" s="537"/>
      <c r="FT28" s="537"/>
      <c r="FU28" s="537"/>
      <c r="FV28" s="537"/>
      <c r="FW28" s="537"/>
      <c r="FX28" s="537"/>
      <c r="FY28" s="537"/>
      <c r="FZ28" s="537"/>
      <c r="GA28" s="537"/>
      <c r="GB28" s="537"/>
      <c r="GC28" s="537"/>
      <c r="GD28" s="537"/>
      <c r="GE28" s="537"/>
      <c r="GF28" s="537"/>
      <c r="GG28" s="537"/>
      <c r="GH28" s="537"/>
      <c r="GI28" s="537"/>
      <c r="GJ28" s="537"/>
      <c r="GK28" s="537"/>
      <c r="GL28" s="537"/>
      <c r="GM28" s="537"/>
      <c r="GN28" s="537"/>
      <c r="GO28" s="537"/>
      <c r="GP28" s="537"/>
      <c r="GQ28" s="537"/>
      <c r="GR28" s="537"/>
      <c r="GS28" s="537"/>
      <c r="GT28" s="537"/>
      <c r="GU28" s="537"/>
      <c r="GV28" s="537"/>
      <c r="GW28" s="537"/>
      <c r="GX28" s="537"/>
      <c r="GY28" s="537"/>
      <c r="GZ28" s="537"/>
      <c r="HA28" s="537"/>
      <c r="HB28" s="537"/>
      <c r="HC28" s="537"/>
      <c r="HD28" s="537"/>
      <c r="HE28" s="537"/>
      <c r="HF28" s="537"/>
      <c r="HG28" s="537"/>
      <c r="HH28" s="537"/>
      <c r="HI28" s="537"/>
      <c r="HJ28" s="537"/>
      <c r="HK28" s="537"/>
      <c r="HL28" s="537"/>
      <c r="HM28" s="537"/>
      <c r="HN28" s="537"/>
      <c r="HO28" s="537"/>
      <c r="HP28" s="537"/>
      <c r="HQ28" s="537"/>
      <c r="HR28" s="537"/>
      <c r="HS28" s="537"/>
      <c r="HT28" s="537"/>
      <c r="HU28" s="537"/>
      <c r="HV28" s="537"/>
      <c r="HW28" s="537"/>
      <c r="HX28" s="537"/>
      <c r="HY28" s="537"/>
      <c r="HZ28" s="537"/>
      <c r="IA28" s="537"/>
      <c r="IB28" s="537"/>
      <c r="IC28" s="537"/>
      <c r="ID28" s="537"/>
      <c r="IE28" s="537"/>
      <c r="IF28" s="537"/>
      <c r="IG28" s="537"/>
      <c r="IH28" s="537"/>
      <c r="II28" s="537"/>
      <c r="IJ28" s="537"/>
      <c r="IK28" s="537"/>
      <c r="IL28" s="537"/>
      <c r="IM28" s="537"/>
      <c r="IN28" s="537"/>
      <c r="IO28" s="537"/>
      <c r="IP28" s="537"/>
      <c r="IQ28" s="537"/>
      <c r="IR28" s="537"/>
      <c r="IS28" s="537"/>
      <c r="IT28" s="537"/>
      <c r="IU28" s="537"/>
      <c r="IV28" s="537"/>
      <c r="IW28" s="537"/>
    </row>
    <row r="29" customFormat="false" ht="12.75" hidden="false" customHeight="false" outlineLevel="0" collapsed="false">
      <c r="A29" s="540" t="s">
        <v>374</v>
      </c>
      <c r="B29" s="549" t="n">
        <f aca="false">B17</f>
        <v>109577</v>
      </c>
      <c r="C29" s="550"/>
      <c r="D29" s="549" t="n">
        <f aca="false">$B$29*D25</f>
        <v>5478.85</v>
      </c>
      <c r="E29" s="549" t="n">
        <f aca="false">$B$29*E25</f>
        <v>10409.815</v>
      </c>
      <c r="F29" s="549" t="n">
        <f aca="false">$B$29*F25</f>
        <v>9368.8335</v>
      </c>
      <c r="G29" s="549" t="n">
        <f aca="false">$B$29*G25</f>
        <v>8437.429</v>
      </c>
      <c r="H29" s="549" t="n">
        <f aca="false">$B$29*H25</f>
        <v>7593.6861</v>
      </c>
      <c r="I29" s="549" t="n">
        <f aca="false">$B$29*I25</f>
        <v>6826.6471</v>
      </c>
      <c r="J29" s="549" t="n">
        <f aca="false">$B$29*J25</f>
        <v>6465.043</v>
      </c>
      <c r="K29" s="549" t="n">
        <f aca="false">$B$29*K25</f>
        <v>6476.0007</v>
      </c>
      <c r="L29" s="549" t="n">
        <f aca="false">$B$29*L25</f>
        <v>6465.043</v>
      </c>
      <c r="M29" s="549" t="n">
        <f aca="false">$B$29*M25</f>
        <v>6476.0007</v>
      </c>
      <c r="N29" s="549" t="n">
        <f aca="false">$B$29*N25</f>
        <v>6465.043</v>
      </c>
      <c r="O29" s="549" t="n">
        <f aca="false">$B$29*O25</f>
        <v>6476.0007</v>
      </c>
      <c r="P29" s="549" t="n">
        <f aca="false">$B$29*P25</f>
        <v>6465.043</v>
      </c>
      <c r="Q29" s="549" t="n">
        <f aca="false">$B$29*Q25</f>
        <v>6476.0007</v>
      </c>
      <c r="R29" s="549" t="n">
        <f aca="false">$B$29*R25</f>
        <v>6465.043</v>
      </c>
      <c r="S29" s="549" t="n">
        <f aca="false">$B$29*S25</f>
        <v>3232.5215</v>
      </c>
      <c r="T29" s="549" t="n">
        <f aca="false">$B$29*T25</f>
        <v>0</v>
      </c>
      <c r="U29" s="549" t="n">
        <f aca="false">$B$29*U25</f>
        <v>0</v>
      </c>
      <c r="V29" s="549" t="n">
        <f aca="false">$B$29*V25</f>
        <v>0</v>
      </c>
      <c r="W29" s="549" t="n">
        <f aca="false">$B$29*W25</f>
        <v>0</v>
      </c>
      <c r="X29" s="549" t="n">
        <f aca="false">$B$29*X25</f>
        <v>0</v>
      </c>
      <c r="Y29" s="549" t="n">
        <f aca="false">$B$29*Y25</f>
        <v>0</v>
      </c>
      <c r="Z29" s="549" t="n">
        <f aca="false">$B$29*Z25</f>
        <v>0</v>
      </c>
      <c r="AA29" s="549" t="n">
        <f aca="false">$B$29*AA25</f>
        <v>0</v>
      </c>
      <c r="AB29" s="549" t="n">
        <f aca="false">$B$29*AB25</f>
        <v>0</v>
      </c>
      <c r="AC29" s="549" t="n">
        <f aca="false">$B$29*AC25</f>
        <v>0</v>
      </c>
      <c r="AD29" s="549" t="n">
        <f aca="false">$B$29*AD25</f>
        <v>0</v>
      </c>
      <c r="AE29" s="549" t="n">
        <f aca="false">$B$29*AE25</f>
        <v>0</v>
      </c>
      <c r="AF29" s="549" t="n">
        <f aca="false">$B$29*AF25</f>
        <v>0</v>
      </c>
      <c r="AG29" s="549" t="n">
        <f aca="false">$B$29*AG25</f>
        <v>0</v>
      </c>
      <c r="AH29" s="549" t="n">
        <f aca="false">$B$29*AH25</f>
        <v>0</v>
      </c>
      <c r="AI29" s="556"/>
      <c r="AJ29" s="556"/>
      <c r="AK29" s="556"/>
      <c r="AL29" s="556"/>
      <c r="AM29" s="556"/>
      <c r="AN29" s="556"/>
      <c r="AO29" s="556"/>
      <c r="AP29" s="556"/>
      <c r="AQ29" s="556"/>
      <c r="AR29" s="556"/>
      <c r="AS29" s="556"/>
      <c r="AT29" s="556"/>
      <c r="AU29" s="556"/>
      <c r="AV29" s="556"/>
      <c r="AW29" s="556"/>
      <c r="AX29" s="556"/>
      <c r="AY29" s="556"/>
      <c r="AZ29" s="556"/>
      <c r="BA29" s="556"/>
      <c r="BB29" s="556"/>
      <c r="BC29" s="556"/>
      <c r="BD29" s="556"/>
      <c r="BE29" s="556"/>
      <c r="BF29" s="556"/>
      <c r="BG29" s="556"/>
      <c r="BH29" s="556"/>
      <c r="BI29" s="556"/>
      <c r="BJ29" s="556"/>
      <c r="BK29" s="556"/>
      <c r="BL29" s="556"/>
      <c r="BM29" s="556"/>
      <c r="BN29" s="556"/>
      <c r="BO29" s="556"/>
      <c r="BP29" s="556"/>
      <c r="BQ29" s="556"/>
      <c r="BR29" s="556"/>
      <c r="BS29" s="556"/>
      <c r="BT29" s="556"/>
      <c r="BU29" s="556"/>
      <c r="BV29" s="556"/>
      <c r="BW29" s="556"/>
      <c r="BX29" s="556"/>
      <c r="BY29" s="556"/>
      <c r="BZ29" s="556"/>
      <c r="CA29" s="556"/>
      <c r="CB29" s="556"/>
      <c r="CC29" s="556"/>
      <c r="CD29" s="556"/>
      <c r="CE29" s="556"/>
      <c r="CF29" s="556"/>
      <c r="CG29" s="556"/>
      <c r="CH29" s="556"/>
      <c r="CI29" s="556"/>
      <c r="CJ29" s="556"/>
      <c r="CK29" s="556"/>
      <c r="CL29" s="556"/>
      <c r="CM29" s="556"/>
      <c r="CN29" s="556"/>
      <c r="CO29" s="556"/>
      <c r="CP29" s="556"/>
      <c r="CQ29" s="556"/>
      <c r="CR29" s="556"/>
      <c r="CS29" s="556"/>
      <c r="CT29" s="556"/>
      <c r="CU29" s="556"/>
      <c r="CV29" s="556"/>
      <c r="CW29" s="556"/>
      <c r="CX29" s="556"/>
      <c r="CY29" s="556"/>
      <c r="CZ29" s="556"/>
      <c r="DA29" s="556"/>
      <c r="DB29" s="556"/>
      <c r="DC29" s="556"/>
      <c r="DD29" s="556"/>
      <c r="DE29" s="556"/>
      <c r="DF29" s="556"/>
      <c r="DG29" s="556"/>
      <c r="DH29" s="556"/>
      <c r="DI29" s="556"/>
      <c r="DJ29" s="556"/>
      <c r="DK29" s="556"/>
      <c r="DL29" s="556"/>
      <c r="DM29" s="556"/>
      <c r="DN29" s="556"/>
      <c r="DO29" s="556"/>
      <c r="DP29" s="556"/>
      <c r="DQ29" s="556"/>
      <c r="DR29" s="556"/>
      <c r="DS29" s="556"/>
      <c r="DT29" s="556"/>
      <c r="DU29" s="556"/>
      <c r="DV29" s="556"/>
      <c r="DW29" s="556"/>
      <c r="DX29" s="556"/>
      <c r="DY29" s="556"/>
      <c r="DZ29" s="556"/>
      <c r="EA29" s="556"/>
      <c r="EB29" s="556"/>
      <c r="EC29" s="556"/>
      <c r="ED29" s="556"/>
      <c r="EE29" s="556"/>
      <c r="EF29" s="556"/>
      <c r="EG29" s="556"/>
      <c r="EH29" s="556"/>
      <c r="EI29" s="556"/>
      <c r="EJ29" s="556"/>
      <c r="EK29" s="556"/>
      <c r="EL29" s="556"/>
      <c r="EM29" s="556"/>
      <c r="EN29" s="556"/>
      <c r="EO29" s="556"/>
      <c r="EP29" s="556"/>
      <c r="EQ29" s="556"/>
      <c r="ER29" s="556"/>
      <c r="ES29" s="556"/>
      <c r="ET29" s="556"/>
      <c r="EU29" s="556"/>
      <c r="EV29" s="556"/>
      <c r="EW29" s="556"/>
      <c r="EX29" s="556"/>
      <c r="EY29" s="556"/>
      <c r="EZ29" s="556"/>
      <c r="FA29" s="556"/>
      <c r="FB29" s="556"/>
      <c r="FC29" s="556"/>
      <c r="FD29" s="556"/>
      <c r="FE29" s="556"/>
      <c r="FF29" s="556"/>
      <c r="FG29" s="556"/>
      <c r="FH29" s="556"/>
      <c r="FI29" s="556"/>
      <c r="FJ29" s="556"/>
      <c r="FK29" s="556"/>
      <c r="FL29" s="556"/>
      <c r="FM29" s="556"/>
      <c r="FN29" s="556"/>
      <c r="FO29" s="556"/>
      <c r="FP29" s="556"/>
      <c r="FQ29" s="556"/>
      <c r="FR29" s="556"/>
      <c r="FS29" s="556"/>
      <c r="FT29" s="556"/>
      <c r="FU29" s="556"/>
      <c r="FV29" s="556"/>
      <c r="FW29" s="556"/>
      <c r="FX29" s="556"/>
      <c r="FY29" s="556"/>
      <c r="FZ29" s="556"/>
      <c r="GA29" s="556"/>
      <c r="GB29" s="556"/>
      <c r="GC29" s="556"/>
      <c r="GD29" s="556"/>
      <c r="GE29" s="556"/>
      <c r="GF29" s="556"/>
      <c r="GG29" s="556"/>
      <c r="GH29" s="556"/>
      <c r="GI29" s="556"/>
      <c r="GJ29" s="556"/>
      <c r="GK29" s="556"/>
      <c r="GL29" s="556"/>
      <c r="GM29" s="556"/>
      <c r="GN29" s="556"/>
      <c r="GO29" s="556"/>
      <c r="GP29" s="556"/>
      <c r="GQ29" s="556"/>
      <c r="GR29" s="556"/>
      <c r="GS29" s="556"/>
      <c r="GT29" s="556"/>
      <c r="GU29" s="556"/>
      <c r="GV29" s="556"/>
      <c r="GW29" s="556"/>
      <c r="GX29" s="556"/>
      <c r="GY29" s="556"/>
      <c r="GZ29" s="556"/>
      <c r="HA29" s="556"/>
      <c r="HB29" s="556"/>
      <c r="HC29" s="556"/>
      <c r="HD29" s="556"/>
      <c r="HE29" s="556"/>
      <c r="HF29" s="556"/>
      <c r="HG29" s="556"/>
      <c r="HH29" s="556"/>
      <c r="HI29" s="556"/>
      <c r="HJ29" s="556"/>
      <c r="HK29" s="556"/>
      <c r="HL29" s="556"/>
      <c r="HM29" s="556"/>
      <c r="HN29" s="556"/>
      <c r="HO29" s="556"/>
      <c r="HP29" s="556"/>
      <c r="HQ29" s="556"/>
      <c r="HR29" s="556"/>
      <c r="HS29" s="556"/>
      <c r="HT29" s="556"/>
      <c r="HU29" s="556"/>
      <c r="HV29" s="556"/>
      <c r="HW29" s="556"/>
      <c r="HX29" s="556"/>
      <c r="HY29" s="556"/>
      <c r="HZ29" s="556"/>
      <c r="IA29" s="556"/>
      <c r="IB29" s="556"/>
      <c r="IC29" s="556"/>
      <c r="ID29" s="556"/>
      <c r="IE29" s="556"/>
      <c r="IF29" s="556"/>
      <c r="IG29" s="556"/>
      <c r="IH29" s="556"/>
      <c r="II29" s="556"/>
      <c r="IJ29" s="556"/>
      <c r="IK29" s="556"/>
      <c r="IL29" s="556"/>
      <c r="IM29" s="556"/>
      <c r="IN29" s="556"/>
      <c r="IO29" s="556"/>
      <c r="IP29" s="556"/>
      <c r="IQ29" s="556"/>
      <c r="IR29" s="556"/>
      <c r="IS29" s="556"/>
      <c r="IT29" s="556"/>
      <c r="IU29" s="556"/>
      <c r="IV29" s="556"/>
      <c r="IW29" s="556"/>
    </row>
    <row r="30" customFormat="false" ht="15" hidden="false" customHeight="false" outlineLevel="0" collapsed="false">
      <c r="A30" s="544" t="s">
        <v>373</v>
      </c>
      <c r="B30" s="551" t="n">
        <f aca="false">B18</f>
        <v>11044</v>
      </c>
      <c r="C30" s="550"/>
      <c r="D30" s="551" t="n">
        <f aca="false">$B30*D26</f>
        <v>368.133333333333</v>
      </c>
      <c r="E30" s="551" t="n">
        <f aca="false">$B30*E26</f>
        <v>552.2</v>
      </c>
      <c r="F30" s="551" t="n">
        <f aca="false">$B30*F26</f>
        <v>552.2</v>
      </c>
      <c r="G30" s="551" t="n">
        <f aca="false">$B30*G26</f>
        <v>552.2</v>
      </c>
      <c r="H30" s="551" t="n">
        <f aca="false">$B30*H26</f>
        <v>552.2</v>
      </c>
      <c r="I30" s="551" t="n">
        <f aca="false">$B30*I26</f>
        <v>552.2</v>
      </c>
      <c r="J30" s="551" t="n">
        <f aca="false">$B30*J26</f>
        <v>552.2</v>
      </c>
      <c r="K30" s="551" t="n">
        <f aca="false">$B30*K26</f>
        <v>552.2</v>
      </c>
      <c r="L30" s="551" t="n">
        <f aca="false">$B30*L26</f>
        <v>552.2</v>
      </c>
      <c r="M30" s="551" t="n">
        <f aca="false">$B30*M26</f>
        <v>552.2</v>
      </c>
      <c r="N30" s="551" t="n">
        <f aca="false">$B30*N26</f>
        <v>552.2</v>
      </c>
      <c r="O30" s="551" t="n">
        <f aca="false">$B30*O26</f>
        <v>552.2</v>
      </c>
      <c r="P30" s="551" t="n">
        <f aca="false">$B30*P26</f>
        <v>552.2</v>
      </c>
      <c r="Q30" s="551" t="n">
        <f aca="false">$B30*Q26</f>
        <v>552.2</v>
      </c>
      <c r="R30" s="551" t="n">
        <f aca="false">$B30*R26</f>
        <v>552.2</v>
      </c>
      <c r="S30" s="551" t="n">
        <f aca="false">$B30*S26</f>
        <v>552.2</v>
      </c>
      <c r="T30" s="551" t="n">
        <f aca="false">$B30*T26</f>
        <v>552.2</v>
      </c>
      <c r="U30" s="551" t="n">
        <f aca="false">$B30*U26</f>
        <v>552.2</v>
      </c>
      <c r="V30" s="551" t="n">
        <f aca="false">$B30*V26</f>
        <v>552.2</v>
      </c>
      <c r="W30" s="551" t="n">
        <f aca="false">$B30*W26</f>
        <v>552.2</v>
      </c>
      <c r="X30" s="551" t="n">
        <f aca="false">$B30*X26</f>
        <v>184.066666666667</v>
      </c>
      <c r="Y30" s="551" t="n">
        <f aca="false">$B30*Y26</f>
        <v>0</v>
      </c>
      <c r="Z30" s="551" t="n">
        <f aca="false">$B30*Z26</f>
        <v>0</v>
      </c>
      <c r="AA30" s="551" t="n">
        <f aca="false">$B30*AA26</f>
        <v>0</v>
      </c>
      <c r="AB30" s="551" t="n">
        <f aca="false">$B30*AB26</f>
        <v>0</v>
      </c>
      <c r="AC30" s="551" t="n">
        <f aca="false">$B30*AC26</f>
        <v>0</v>
      </c>
      <c r="AD30" s="551" t="n">
        <f aca="false">$B30*AD26</f>
        <v>0</v>
      </c>
      <c r="AE30" s="551" t="n">
        <f aca="false">$B30*AE26</f>
        <v>0</v>
      </c>
      <c r="AF30" s="551" t="n">
        <f aca="false">$B30*AF26</f>
        <v>0</v>
      </c>
      <c r="AG30" s="551" t="n">
        <f aca="false">$B30*AG26</f>
        <v>0</v>
      </c>
      <c r="AH30" s="551" t="n">
        <f aca="false">$B30*AH26</f>
        <v>0</v>
      </c>
      <c r="AI30" s="537"/>
      <c r="AJ30" s="537"/>
      <c r="AK30" s="537"/>
      <c r="AL30" s="537"/>
      <c r="AM30" s="537"/>
      <c r="AN30" s="537"/>
      <c r="AO30" s="537"/>
      <c r="AP30" s="537"/>
      <c r="AQ30" s="537"/>
      <c r="AR30" s="537"/>
      <c r="AS30" s="537"/>
      <c r="AT30" s="537"/>
      <c r="AU30" s="537"/>
      <c r="AV30" s="537"/>
      <c r="AW30" s="537"/>
      <c r="AX30" s="537"/>
      <c r="AY30" s="537"/>
      <c r="AZ30" s="537"/>
      <c r="BA30" s="537"/>
      <c r="BB30" s="537"/>
      <c r="BC30" s="537"/>
      <c r="BD30" s="537"/>
      <c r="BE30" s="537"/>
      <c r="BF30" s="537"/>
      <c r="BG30" s="537"/>
      <c r="BH30" s="537"/>
      <c r="BI30" s="537"/>
      <c r="BJ30" s="537"/>
      <c r="BK30" s="537"/>
      <c r="BL30" s="537"/>
      <c r="BM30" s="537"/>
      <c r="BN30" s="537"/>
      <c r="BO30" s="537"/>
      <c r="BP30" s="537"/>
      <c r="BQ30" s="537"/>
      <c r="BR30" s="537"/>
      <c r="BS30" s="537"/>
      <c r="BT30" s="537"/>
      <c r="BU30" s="537"/>
      <c r="BV30" s="537"/>
      <c r="BW30" s="537"/>
      <c r="BX30" s="537"/>
      <c r="BY30" s="537"/>
      <c r="BZ30" s="537"/>
      <c r="CA30" s="537"/>
      <c r="CB30" s="537"/>
      <c r="CC30" s="537"/>
      <c r="CD30" s="537"/>
      <c r="CE30" s="537"/>
      <c r="CF30" s="537"/>
      <c r="CG30" s="537"/>
      <c r="CH30" s="537"/>
      <c r="CI30" s="537"/>
      <c r="CJ30" s="537"/>
      <c r="CK30" s="537"/>
      <c r="CL30" s="537"/>
      <c r="CM30" s="537"/>
      <c r="CN30" s="537"/>
      <c r="CO30" s="537"/>
      <c r="CP30" s="537"/>
      <c r="CQ30" s="537"/>
      <c r="CR30" s="537"/>
      <c r="CS30" s="537"/>
      <c r="CT30" s="537"/>
      <c r="CU30" s="537"/>
      <c r="CV30" s="537"/>
      <c r="CW30" s="537"/>
      <c r="CX30" s="537"/>
      <c r="CY30" s="537"/>
      <c r="CZ30" s="537"/>
      <c r="DA30" s="537"/>
      <c r="DB30" s="537"/>
      <c r="DC30" s="537"/>
      <c r="DD30" s="537"/>
      <c r="DE30" s="537"/>
      <c r="DF30" s="537"/>
      <c r="DG30" s="537"/>
      <c r="DH30" s="537"/>
      <c r="DI30" s="537"/>
      <c r="DJ30" s="537"/>
      <c r="DK30" s="537"/>
      <c r="DL30" s="537"/>
      <c r="DM30" s="537"/>
      <c r="DN30" s="537"/>
      <c r="DO30" s="537"/>
      <c r="DP30" s="537"/>
      <c r="DQ30" s="537"/>
      <c r="DR30" s="537"/>
      <c r="DS30" s="537"/>
      <c r="DT30" s="537"/>
      <c r="DU30" s="537"/>
      <c r="DV30" s="537"/>
      <c r="DW30" s="537"/>
      <c r="DX30" s="537"/>
      <c r="DY30" s="537"/>
      <c r="DZ30" s="537"/>
      <c r="EA30" s="537"/>
      <c r="EB30" s="537"/>
      <c r="EC30" s="537"/>
      <c r="ED30" s="537"/>
      <c r="EE30" s="537"/>
      <c r="EF30" s="537"/>
      <c r="EG30" s="537"/>
      <c r="EH30" s="537"/>
      <c r="EI30" s="537"/>
      <c r="EJ30" s="537"/>
      <c r="EK30" s="537"/>
      <c r="EL30" s="537"/>
      <c r="EM30" s="537"/>
      <c r="EN30" s="537"/>
      <c r="EO30" s="537"/>
      <c r="EP30" s="537"/>
      <c r="EQ30" s="537"/>
      <c r="ER30" s="537"/>
      <c r="ES30" s="537"/>
      <c r="ET30" s="537"/>
      <c r="EU30" s="537"/>
      <c r="EV30" s="537"/>
      <c r="EW30" s="537"/>
      <c r="EX30" s="537"/>
      <c r="EY30" s="537"/>
      <c r="EZ30" s="537"/>
      <c r="FA30" s="537"/>
      <c r="FB30" s="537"/>
      <c r="FC30" s="537"/>
      <c r="FD30" s="537"/>
      <c r="FE30" s="537"/>
      <c r="FF30" s="537"/>
      <c r="FG30" s="537"/>
      <c r="FH30" s="537"/>
      <c r="FI30" s="537"/>
      <c r="FJ30" s="537"/>
      <c r="FK30" s="537"/>
      <c r="FL30" s="537"/>
      <c r="FM30" s="537"/>
      <c r="FN30" s="537"/>
      <c r="FO30" s="537"/>
      <c r="FP30" s="537"/>
      <c r="FQ30" s="537"/>
      <c r="FR30" s="537"/>
      <c r="FS30" s="537"/>
      <c r="FT30" s="537"/>
      <c r="FU30" s="537"/>
      <c r="FV30" s="537"/>
      <c r="FW30" s="537"/>
      <c r="FX30" s="537"/>
      <c r="FY30" s="537"/>
      <c r="FZ30" s="537"/>
      <c r="GA30" s="537"/>
      <c r="GB30" s="537"/>
      <c r="GC30" s="537"/>
      <c r="GD30" s="537"/>
      <c r="GE30" s="537"/>
      <c r="GF30" s="537"/>
      <c r="GG30" s="537"/>
      <c r="GH30" s="537"/>
      <c r="GI30" s="537"/>
      <c r="GJ30" s="537"/>
      <c r="GK30" s="537"/>
      <c r="GL30" s="537"/>
      <c r="GM30" s="537"/>
      <c r="GN30" s="537"/>
      <c r="GO30" s="537"/>
      <c r="GP30" s="537"/>
      <c r="GQ30" s="537"/>
      <c r="GR30" s="537"/>
      <c r="GS30" s="537"/>
      <c r="GT30" s="537"/>
      <c r="GU30" s="537"/>
      <c r="GV30" s="537"/>
      <c r="GW30" s="537"/>
      <c r="GX30" s="537"/>
      <c r="GY30" s="537"/>
      <c r="GZ30" s="537"/>
      <c r="HA30" s="537"/>
      <c r="HB30" s="537"/>
      <c r="HC30" s="537"/>
      <c r="HD30" s="537"/>
      <c r="HE30" s="537"/>
      <c r="HF30" s="537"/>
      <c r="HG30" s="537"/>
      <c r="HH30" s="537"/>
      <c r="HI30" s="537"/>
      <c r="HJ30" s="537"/>
      <c r="HK30" s="537"/>
      <c r="HL30" s="537"/>
      <c r="HM30" s="537"/>
      <c r="HN30" s="537"/>
      <c r="HO30" s="537"/>
      <c r="HP30" s="537"/>
      <c r="HQ30" s="537"/>
      <c r="HR30" s="537"/>
      <c r="HS30" s="537"/>
      <c r="HT30" s="537"/>
      <c r="HU30" s="537"/>
      <c r="HV30" s="537"/>
      <c r="HW30" s="537"/>
      <c r="HX30" s="537"/>
      <c r="HY30" s="537"/>
      <c r="HZ30" s="537"/>
      <c r="IA30" s="537"/>
      <c r="IB30" s="537"/>
      <c r="IC30" s="537"/>
      <c r="ID30" s="537"/>
      <c r="IE30" s="537"/>
      <c r="IF30" s="537"/>
      <c r="IG30" s="537"/>
      <c r="IH30" s="537"/>
      <c r="II30" s="537"/>
      <c r="IJ30" s="537"/>
      <c r="IK30" s="537"/>
      <c r="IL30" s="537"/>
      <c r="IM30" s="537"/>
      <c r="IN30" s="537"/>
      <c r="IO30" s="537"/>
      <c r="IP30" s="537"/>
      <c r="IQ30" s="537"/>
      <c r="IR30" s="537"/>
      <c r="IS30" s="537"/>
      <c r="IT30" s="537"/>
      <c r="IU30" s="537"/>
      <c r="IV30" s="537"/>
      <c r="IW30" s="537"/>
    </row>
    <row r="31" customFormat="false" ht="12.75" hidden="false" customHeight="false" outlineLevel="0" collapsed="false">
      <c r="A31" s="553" t="s">
        <v>375</v>
      </c>
      <c r="B31" s="549" t="n">
        <f aca="false">SUM(B29:B30)</f>
        <v>120621</v>
      </c>
      <c r="C31" s="550"/>
      <c r="D31" s="549" t="n">
        <f aca="false">SUM(D29:D30)</f>
        <v>5846.98333333333</v>
      </c>
      <c r="E31" s="549" t="n">
        <f aca="false">SUM(E29:E30)</f>
        <v>10962.015</v>
      </c>
      <c r="F31" s="549" t="n">
        <f aca="false">SUM(F29:F30)</f>
        <v>9921.0335</v>
      </c>
      <c r="G31" s="549" t="n">
        <f aca="false">SUM(G29:G30)</f>
        <v>8989.629</v>
      </c>
      <c r="H31" s="549" t="n">
        <f aca="false">SUM(H29:H30)</f>
        <v>8145.8861</v>
      </c>
      <c r="I31" s="549" t="n">
        <f aca="false">SUM(I29:I30)</f>
        <v>7378.8471</v>
      </c>
      <c r="J31" s="549" t="n">
        <f aca="false">SUM(J29:J30)</f>
        <v>7017.243</v>
      </c>
      <c r="K31" s="549" t="n">
        <f aca="false">SUM(K29:K30)</f>
        <v>7028.2007</v>
      </c>
      <c r="L31" s="549" t="n">
        <f aca="false">SUM(L29:L30)</f>
        <v>7017.243</v>
      </c>
      <c r="M31" s="549" t="n">
        <f aca="false">SUM(M29:M30)</f>
        <v>7028.2007</v>
      </c>
      <c r="N31" s="549" t="n">
        <f aca="false">SUM(N29:N30)</f>
        <v>7017.243</v>
      </c>
      <c r="O31" s="549" t="n">
        <f aca="false">SUM(O29:O30)</f>
        <v>7028.2007</v>
      </c>
      <c r="P31" s="549" t="n">
        <f aca="false">SUM(P29:P30)</f>
        <v>7017.243</v>
      </c>
      <c r="Q31" s="549" t="n">
        <f aca="false">SUM(Q29:Q30)</f>
        <v>7028.2007</v>
      </c>
      <c r="R31" s="549" t="n">
        <f aca="false">SUM(R29:R30)</f>
        <v>7017.243</v>
      </c>
      <c r="S31" s="549" t="n">
        <f aca="false">SUM(S29:S30)</f>
        <v>3784.7215</v>
      </c>
      <c r="T31" s="549" t="n">
        <f aca="false">SUM(T29:T30)</f>
        <v>552.2</v>
      </c>
      <c r="U31" s="549" t="n">
        <f aca="false">SUM(U29:U30)</f>
        <v>552.2</v>
      </c>
      <c r="V31" s="549" t="n">
        <f aca="false">SUM(V29:V30)</f>
        <v>552.2</v>
      </c>
      <c r="W31" s="549" t="n">
        <f aca="false">SUM(W29:W30)</f>
        <v>552.2</v>
      </c>
      <c r="X31" s="549" t="n">
        <f aca="false">SUM(X29:X30)</f>
        <v>184.066666666667</v>
      </c>
      <c r="Y31" s="549" t="n">
        <f aca="false">SUM(Y29:Y30)</f>
        <v>0</v>
      </c>
      <c r="Z31" s="549" t="n">
        <f aca="false">SUM(Z29:Z30)</f>
        <v>0</v>
      </c>
      <c r="AA31" s="549" t="n">
        <f aca="false">SUM(AA29:AA30)</f>
        <v>0</v>
      </c>
      <c r="AB31" s="549" t="n">
        <f aca="false">SUM(AB29:AB30)</f>
        <v>0</v>
      </c>
      <c r="AC31" s="549" t="n">
        <f aca="false">SUM(AC29:AC30)</f>
        <v>0</v>
      </c>
      <c r="AD31" s="549" t="n">
        <f aca="false">SUM(AD29:AD30)</f>
        <v>0</v>
      </c>
      <c r="AE31" s="549" t="n">
        <f aca="false">SUM(AE29:AE30)</f>
        <v>0</v>
      </c>
      <c r="AF31" s="549" t="n">
        <f aca="false">SUM(AF29:AF30)</f>
        <v>0</v>
      </c>
      <c r="AG31" s="549" t="n">
        <f aca="false">SUM(AG29:AG30)</f>
        <v>0</v>
      </c>
      <c r="AH31" s="549" t="n">
        <f aca="false">SUM(AH29:AH30)</f>
        <v>0</v>
      </c>
      <c r="AI31" s="537"/>
      <c r="AJ31" s="537"/>
      <c r="AK31" s="537"/>
      <c r="AL31" s="537"/>
      <c r="AM31" s="537"/>
      <c r="AN31" s="537"/>
      <c r="AO31" s="537"/>
      <c r="AP31" s="537"/>
      <c r="AQ31" s="537"/>
      <c r="AR31" s="537"/>
      <c r="AS31" s="537"/>
      <c r="AT31" s="537"/>
      <c r="AU31" s="537"/>
      <c r="AV31" s="537"/>
      <c r="AW31" s="537"/>
      <c r="AX31" s="537"/>
      <c r="AY31" s="537"/>
      <c r="AZ31" s="537"/>
      <c r="BA31" s="537"/>
      <c r="BB31" s="537"/>
      <c r="BC31" s="537"/>
      <c r="BD31" s="537"/>
      <c r="BE31" s="537"/>
      <c r="BF31" s="537"/>
      <c r="BG31" s="537"/>
      <c r="BH31" s="537"/>
      <c r="BI31" s="537"/>
      <c r="BJ31" s="537"/>
      <c r="BK31" s="537"/>
      <c r="BL31" s="537"/>
      <c r="BM31" s="537"/>
      <c r="BN31" s="537"/>
      <c r="BO31" s="537"/>
      <c r="BP31" s="537"/>
      <c r="BQ31" s="537"/>
      <c r="BR31" s="537"/>
      <c r="BS31" s="537"/>
      <c r="BT31" s="537"/>
      <c r="BU31" s="537"/>
      <c r="BV31" s="537"/>
      <c r="BW31" s="537"/>
      <c r="BX31" s="537"/>
      <c r="BY31" s="537"/>
      <c r="BZ31" s="537"/>
      <c r="CA31" s="537"/>
      <c r="CB31" s="537"/>
      <c r="CC31" s="537"/>
      <c r="CD31" s="537"/>
      <c r="CE31" s="537"/>
      <c r="CF31" s="537"/>
      <c r="CG31" s="537"/>
      <c r="CH31" s="537"/>
      <c r="CI31" s="537"/>
      <c r="CJ31" s="537"/>
      <c r="CK31" s="537"/>
      <c r="CL31" s="537"/>
      <c r="CM31" s="537"/>
      <c r="CN31" s="537"/>
      <c r="CO31" s="537"/>
      <c r="CP31" s="537"/>
      <c r="CQ31" s="537"/>
      <c r="CR31" s="537"/>
      <c r="CS31" s="537"/>
      <c r="CT31" s="537"/>
      <c r="CU31" s="537"/>
      <c r="CV31" s="537"/>
      <c r="CW31" s="537"/>
      <c r="CX31" s="537"/>
      <c r="CY31" s="537"/>
      <c r="CZ31" s="537"/>
      <c r="DA31" s="537"/>
      <c r="DB31" s="537"/>
      <c r="DC31" s="537"/>
      <c r="DD31" s="537"/>
      <c r="DE31" s="537"/>
      <c r="DF31" s="537"/>
      <c r="DG31" s="537"/>
      <c r="DH31" s="537"/>
      <c r="DI31" s="537"/>
      <c r="DJ31" s="537"/>
      <c r="DK31" s="537"/>
      <c r="DL31" s="537"/>
      <c r="DM31" s="537"/>
      <c r="DN31" s="537"/>
      <c r="DO31" s="537"/>
      <c r="DP31" s="537"/>
      <c r="DQ31" s="537"/>
      <c r="DR31" s="537"/>
      <c r="DS31" s="537"/>
      <c r="DT31" s="537"/>
      <c r="DU31" s="537"/>
      <c r="DV31" s="537"/>
      <c r="DW31" s="537"/>
      <c r="DX31" s="537"/>
      <c r="DY31" s="537"/>
      <c r="DZ31" s="537"/>
      <c r="EA31" s="537"/>
      <c r="EB31" s="537"/>
      <c r="EC31" s="537"/>
      <c r="ED31" s="537"/>
      <c r="EE31" s="537"/>
      <c r="EF31" s="537"/>
      <c r="EG31" s="537"/>
      <c r="EH31" s="537"/>
      <c r="EI31" s="537"/>
      <c r="EJ31" s="537"/>
      <c r="EK31" s="537"/>
      <c r="EL31" s="537"/>
      <c r="EM31" s="537"/>
      <c r="EN31" s="537"/>
      <c r="EO31" s="537"/>
      <c r="EP31" s="537"/>
      <c r="EQ31" s="537"/>
      <c r="ER31" s="537"/>
      <c r="ES31" s="537"/>
      <c r="ET31" s="537"/>
      <c r="EU31" s="537"/>
      <c r="EV31" s="537"/>
      <c r="EW31" s="537"/>
      <c r="EX31" s="537"/>
      <c r="EY31" s="537"/>
      <c r="EZ31" s="537"/>
      <c r="FA31" s="537"/>
      <c r="FB31" s="537"/>
      <c r="FC31" s="537"/>
      <c r="FD31" s="537"/>
      <c r="FE31" s="537"/>
      <c r="FF31" s="537"/>
      <c r="FG31" s="537"/>
      <c r="FH31" s="537"/>
      <c r="FI31" s="537"/>
      <c r="FJ31" s="537"/>
      <c r="FK31" s="537"/>
      <c r="FL31" s="537"/>
      <c r="FM31" s="537"/>
      <c r="FN31" s="537"/>
      <c r="FO31" s="537"/>
      <c r="FP31" s="537"/>
      <c r="FQ31" s="537"/>
      <c r="FR31" s="537"/>
      <c r="FS31" s="537"/>
      <c r="FT31" s="537"/>
      <c r="FU31" s="537"/>
      <c r="FV31" s="537"/>
      <c r="FW31" s="537"/>
      <c r="FX31" s="537"/>
      <c r="FY31" s="537"/>
      <c r="FZ31" s="537"/>
      <c r="GA31" s="537"/>
      <c r="GB31" s="537"/>
      <c r="GC31" s="537"/>
      <c r="GD31" s="537"/>
      <c r="GE31" s="537"/>
      <c r="GF31" s="537"/>
      <c r="GG31" s="537"/>
      <c r="GH31" s="537"/>
      <c r="GI31" s="537"/>
      <c r="GJ31" s="537"/>
      <c r="GK31" s="537"/>
      <c r="GL31" s="537"/>
      <c r="GM31" s="537"/>
      <c r="GN31" s="537"/>
      <c r="GO31" s="537"/>
      <c r="GP31" s="537"/>
      <c r="GQ31" s="537"/>
      <c r="GR31" s="537"/>
      <c r="GS31" s="537"/>
      <c r="GT31" s="537"/>
      <c r="GU31" s="537"/>
      <c r="GV31" s="537"/>
      <c r="GW31" s="537"/>
      <c r="GX31" s="537"/>
      <c r="GY31" s="537"/>
      <c r="GZ31" s="537"/>
      <c r="HA31" s="537"/>
      <c r="HB31" s="537"/>
      <c r="HC31" s="537"/>
      <c r="HD31" s="537"/>
      <c r="HE31" s="537"/>
      <c r="HF31" s="537"/>
      <c r="HG31" s="537"/>
      <c r="HH31" s="537"/>
      <c r="HI31" s="537"/>
      <c r="HJ31" s="537"/>
      <c r="HK31" s="537"/>
      <c r="HL31" s="537"/>
      <c r="HM31" s="537"/>
      <c r="HN31" s="537"/>
      <c r="HO31" s="537"/>
      <c r="HP31" s="537"/>
      <c r="HQ31" s="537"/>
      <c r="HR31" s="537"/>
      <c r="HS31" s="537"/>
      <c r="HT31" s="537"/>
      <c r="HU31" s="537"/>
      <c r="HV31" s="537"/>
      <c r="HW31" s="537"/>
      <c r="HX31" s="537"/>
      <c r="HY31" s="537"/>
      <c r="HZ31" s="537"/>
      <c r="IA31" s="537"/>
      <c r="IB31" s="537"/>
      <c r="IC31" s="537"/>
      <c r="ID31" s="537"/>
      <c r="IE31" s="537"/>
      <c r="IF31" s="537"/>
      <c r="IG31" s="537"/>
      <c r="IH31" s="537"/>
      <c r="II31" s="537"/>
      <c r="IJ31" s="537"/>
      <c r="IK31" s="537"/>
      <c r="IL31" s="537"/>
      <c r="IM31" s="537"/>
      <c r="IN31" s="537"/>
      <c r="IO31" s="537"/>
      <c r="IP31" s="537"/>
      <c r="IQ31" s="537"/>
      <c r="IR31" s="537"/>
      <c r="IS31" s="537"/>
      <c r="IT31" s="537"/>
      <c r="IU31" s="537"/>
      <c r="IV31" s="537"/>
      <c r="IW31" s="537"/>
    </row>
    <row r="32" customFormat="false" ht="12.75" hidden="false" customHeight="false" outlineLevel="0" collapsed="false">
      <c r="A32" s="553"/>
      <c r="AI32" s="537"/>
      <c r="AJ32" s="537"/>
      <c r="AK32" s="537"/>
      <c r="AL32" s="537"/>
      <c r="AM32" s="537"/>
      <c r="AN32" s="537"/>
      <c r="AO32" s="537"/>
      <c r="AP32" s="537"/>
      <c r="AQ32" s="537"/>
      <c r="AR32" s="537"/>
      <c r="AS32" s="537"/>
      <c r="AT32" s="537"/>
      <c r="AU32" s="537"/>
      <c r="AV32" s="537"/>
      <c r="AW32" s="537"/>
      <c r="AX32" s="537"/>
      <c r="AY32" s="537"/>
      <c r="AZ32" s="537"/>
      <c r="BA32" s="537"/>
      <c r="BB32" s="537"/>
      <c r="BC32" s="537"/>
      <c r="BD32" s="537"/>
      <c r="BE32" s="537"/>
      <c r="BF32" s="537"/>
      <c r="BG32" s="537"/>
      <c r="BH32" s="537"/>
      <c r="BI32" s="537"/>
      <c r="BJ32" s="537"/>
      <c r="BK32" s="537"/>
      <c r="BL32" s="537"/>
      <c r="BM32" s="537"/>
      <c r="BN32" s="537"/>
      <c r="BO32" s="537"/>
      <c r="BP32" s="537"/>
      <c r="BQ32" s="537"/>
      <c r="BR32" s="537"/>
      <c r="BS32" s="537"/>
      <c r="BT32" s="537"/>
      <c r="BU32" s="537"/>
      <c r="BV32" s="537"/>
      <c r="BW32" s="537"/>
      <c r="BX32" s="537"/>
      <c r="BY32" s="537"/>
      <c r="BZ32" s="537"/>
      <c r="CA32" s="537"/>
      <c r="CB32" s="537"/>
      <c r="CC32" s="537"/>
      <c r="CD32" s="537"/>
      <c r="CE32" s="537"/>
      <c r="CF32" s="537"/>
      <c r="CG32" s="537"/>
      <c r="CH32" s="537"/>
      <c r="CI32" s="537"/>
      <c r="CJ32" s="537"/>
      <c r="CK32" s="537"/>
      <c r="CL32" s="537"/>
      <c r="CM32" s="537"/>
      <c r="CN32" s="537"/>
      <c r="CO32" s="537"/>
      <c r="CP32" s="537"/>
      <c r="CQ32" s="537"/>
      <c r="CR32" s="537"/>
      <c r="CS32" s="537"/>
      <c r="CT32" s="537"/>
      <c r="CU32" s="537"/>
      <c r="CV32" s="537"/>
      <c r="CW32" s="537"/>
      <c r="CX32" s="537"/>
      <c r="CY32" s="537"/>
      <c r="CZ32" s="537"/>
      <c r="DA32" s="537"/>
      <c r="DB32" s="537"/>
      <c r="DC32" s="537"/>
      <c r="DD32" s="537"/>
      <c r="DE32" s="537"/>
      <c r="DF32" s="537"/>
      <c r="DG32" s="537"/>
      <c r="DH32" s="537"/>
      <c r="DI32" s="537"/>
      <c r="DJ32" s="537"/>
      <c r="DK32" s="537"/>
      <c r="DL32" s="537"/>
      <c r="DM32" s="537"/>
      <c r="DN32" s="537"/>
      <c r="DO32" s="537"/>
      <c r="DP32" s="537"/>
      <c r="DQ32" s="537"/>
      <c r="DR32" s="537"/>
      <c r="DS32" s="537"/>
      <c r="DT32" s="537"/>
      <c r="DU32" s="537"/>
      <c r="DV32" s="537"/>
      <c r="DW32" s="537"/>
      <c r="DX32" s="537"/>
      <c r="DY32" s="537"/>
      <c r="DZ32" s="537"/>
      <c r="EA32" s="537"/>
      <c r="EB32" s="537"/>
      <c r="EC32" s="537"/>
      <c r="ED32" s="537"/>
      <c r="EE32" s="537"/>
      <c r="EF32" s="537"/>
      <c r="EG32" s="537"/>
      <c r="EH32" s="537"/>
      <c r="EI32" s="537"/>
      <c r="EJ32" s="537"/>
      <c r="EK32" s="537"/>
      <c r="EL32" s="537"/>
      <c r="EM32" s="537"/>
      <c r="EN32" s="537"/>
      <c r="EO32" s="537"/>
      <c r="EP32" s="537"/>
      <c r="EQ32" s="537"/>
      <c r="ER32" s="537"/>
      <c r="ES32" s="537"/>
      <c r="ET32" s="537"/>
      <c r="EU32" s="537"/>
      <c r="EV32" s="537"/>
      <c r="EW32" s="537"/>
      <c r="EX32" s="537"/>
      <c r="EY32" s="537"/>
      <c r="EZ32" s="537"/>
      <c r="FA32" s="537"/>
      <c r="FB32" s="537"/>
      <c r="FC32" s="537"/>
      <c r="FD32" s="537"/>
      <c r="FE32" s="537"/>
      <c r="FF32" s="537"/>
      <c r="FG32" s="537"/>
      <c r="FH32" s="537"/>
      <c r="FI32" s="537"/>
      <c r="FJ32" s="537"/>
      <c r="FK32" s="537"/>
      <c r="FL32" s="537"/>
      <c r="FM32" s="537"/>
      <c r="FN32" s="537"/>
      <c r="FO32" s="537"/>
      <c r="FP32" s="537"/>
      <c r="FQ32" s="537"/>
      <c r="FR32" s="537"/>
      <c r="FS32" s="537"/>
      <c r="FT32" s="537"/>
      <c r="FU32" s="537"/>
      <c r="FV32" s="537"/>
      <c r="FW32" s="537"/>
      <c r="FX32" s="537"/>
      <c r="FY32" s="537"/>
      <c r="FZ32" s="537"/>
      <c r="GA32" s="537"/>
      <c r="GB32" s="537"/>
      <c r="GC32" s="537"/>
      <c r="GD32" s="537"/>
      <c r="GE32" s="537"/>
      <c r="GF32" s="537"/>
      <c r="GG32" s="537"/>
      <c r="GH32" s="537"/>
      <c r="GI32" s="537"/>
      <c r="GJ32" s="537"/>
      <c r="GK32" s="537"/>
      <c r="GL32" s="537"/>
      <c r="GM32" s="537"/>
      <c r="GN32" s="537"/>
      <c r="GO32" s="537"/>
      <c r="GP32" s="537"/>
      <c r="GQ32" s="537"/>
      <c r="GR32" s="537"/>
      <c r="GS32" s="537"/>
      <c r="GT32" s="537"/>
      <c r="GU32" s="537"/>
      <c r="GV32" s="537"/>
      <c r="GW32" s="537"/>
      <c r="GX32" s="537"/>
      <c r="GY32" s="537"/>
      <c r="GZ32" s="537"/>
      <c r="HA32" s="537"/>
      <c r="HB32" s="537"/>
      <c r="HC32" s="537"/>
      <c r="HD32" s="537"/>
      <c r="HE32" s="537"/>
      <c r="HF32" s="537"/>
      <c r="HG32" s="537"/>
      <c r="HH32" s="537"/>
      <c r="HI32" s="537"/>
      <c r="HJ32" s="537"/>
      <c r="HK32" s="537"/>
      <c r="HL32" s="537"/>
      <c r="HM32" s="537"/>
      <c r="HN32" s="537"/>
      <c r="HO32" s="537"/>
      <c r="HP32" s="537"/>
      <c r="HQ32" s="537"/>
      <c r="HR32" s="537"/>
      <c r="HS32" s="537"/>
      <c r="HT32" s="537"/>
      <c r="HU32" s="537"/>
      <c r="HV32" s="537"/>
      <c r="HW32" s="537"/>
      <c r="HX32" s="537"/>
      <c r="HY32" s="537"/>
      <c r="HZ32" s="537"/>
      <c r="IA32" s="537"/>
      <c r="IB32" s="537"/>
      <c r="IC32" s="537"/>
      <c r="ID32" s="537"/>
      <c r="IE32" s="537"/>
      <c r="IF32" s="537"/>
      <c r="IG32" s="537"/>
      <c r="IH32" s="537"/>
      <c r="II32" s="537"/>
      <c r="IJ32" s="537"/>
      <c r="IK32" s="537"/>
      <c r="IL32" s="537"/>
      <c r="IM32" s="537"/>
      <c r="IN32" s="537"/>
      <c r="IO32" s="537"/>
      <c r="IP32" s="537"/>
      <c r="IQ32" s="537"/>
      <c r="IR32" s="537"/>
      <c r="IS32" s="537"/>
      <c r="IT32" s="537"/>
      <c r="IU32" s="537"/>
      <c r="IV32" s="537"/>
      <c r="IW32" s="537"/>
    </row>
    <row r="33" customFormat="false" ht="12.75" hidden="false" customHeight="false" outlineLevel="0" collapsed="false">
      <c r="A33" s="1" t="s">
        <v>376</v>
      </c>
      <c r="B33" s="299" t="n">
        <f aca="false">B31</f>
        <v>120621</v>
      </c>
      <c r="D33" s="182" t="n">
        <f aca="false">B31-D31</f>
        <v>114774.016666667</v>
      </c>
      <c r="E33" s="182" t="n">
        <f aca="false">D33-E31</f>
        <v>103812.001666667</v>
      </c>
      <c r="F33" s="182" t="n">
        <f aca="false">E33-F31</f>
        <v>93890.9681666667</v>
      </c>
      <c r="G33" s="182" t="n">
        <f aca="false">F33-G31</f>
        <v>84901.3391666667</v>
      </c>
      <c r="H33" s="182" t="n">
        <f aca="false">G33-H31</f>
        <v>76755.4530666667</v>
      </c>
      <c r="I33" s="182" t="n">
        <f aca="false">H33-I31</f>
        <v>69376.6059666667</v>
      </c>
      <c r="J33" s="182" t="n">
        <f aca="false">I33-J31</f>
        <v>62359.3629666667</v>
      </c>
      <c r="K33" s="182" t="n">
        <f aca="false">J33-K31</f>
        <v>55331.1622666667</v>
      </c>
      <c r="L33" s="182" t="n">
        <f aca="false">K33-L31</f>
        <v>48313.9192666667</v>
      </c>
      <c r="M33" s="182" t="n">
        <f aca="false">L33-M31</f>
        <v>41285.7185666667</v>
      </c>
      <c r="N33" s="182" t="n">
        <f aca="false">M33-N31</f>
        <v>34268.4755666666</v>
      </c>
      <c r="O33" s="182" t="n">
        <f aca="false">N33-O31</f>
        <v>27240.2748666666</v>
      </c>
      <c r="P33" s="182" t="n">
        <f aca="false">O33-P31</f>
        <v>20223.0318666666</v>
      </c>
      <c r="Q33" s="182" t="n">
        <f aca="false">P33-Q31</f>
        <v>13194.8311666666</v>
      </c>
      <c r="R33" s="182" t="n">
        <f aca="false">Q33-R31</f>
        <v>6177.58816666665</v>
      </c>
      <c r="S33" s="182" t="n">
        <f aca="false">R33-S31</f>
        <v>2392.86666666665</v>
      </c>
      <c r="T33" s="182" t="n">
        <f aca="false">S33-T31</f>
        <v>1840.66666666665</v>
      </c>
      <c r="U33" s="182" t="n">
        <f aca="false">T33-U31</f>
        <v>1288.46666666665</v>
      </c>
      <c r="V33" s="182" t="n">
        <f aca="false">U33-V31</f>
        <v>736.266666666648</v>
      </c>
      <c r="W33" s="182" t="n">
        <f aca="false">V33-W31</f>
        <v>184.066666666648</v>
      </c>
      <c r="X33" s="182" t="n">
        <f aca="false">W33-X31</f>
        <v>-1.91846538655227E-011</v>
      </c>
      <c r="Y33" s="182" t="n">
        <f aca="false">X33-Y31</f>
        <v>-1.91846538655227E-011</v>
      </c>
      <c r="Z33" s="182" t="n">
        <f aca="false">Y33-Z31</f>
        <v>-1.91846538655227E-011</v>
      </c>
      <c r="AA33" s="182" t="n">
        <f aca="false">Z33-AA31</f>
        <v>-1.91846538655227E-011</v>
      </c>
      <c r="AB33" s="182" t="n">
        <f aca="false">AA33-AB31</f>
        <v>-1.91846538655227E-011</v>
      </c>
      <c r="AC33" s="182" t="n">
        <f aca="false">AB33-AC31</f>
        <v>-1.91846538655227E-011</v>
      </c>
      <c r="AD33" s="182" t="n">
        <f aca="false">AC33-AD31</f>
        <v>-1.91846538655227E-011</v>
      </c>
      <c r="AE33" s="182" t="n">
        <f aca="false">AD33-AE31</f>
        <v>-1.91846538655227E-011</v>
      </c>
      <c r="AF33" s="182" t="n">
        <f aca="false">AE33-AF31</f>
        <v>-1.91846538655227E-011</v>
      </c>
      <c r="AG33" s="182" t="n">
        <f aca="false">AF33-AG31</f>
        <v>-1.91846538655227E-011</v>
      </c>
      <c r="AH33" s="182" t="n">
        <f aca="false">AG33-AH31</f>
        <v>-1.91846538655227E-011</v>
      </c>
      <c r="AI33" s="537"/>
      <c r="AJ33" s="537"/>
      <c r="AK33" s="537"/>
      <c r="AL33" s="537"/>
      <c r="AM33" s="537"/>
      <c r="AN33" s="537"/>
      <c r="AO33" s="537"/>
      <c r="AP33" s="537"/>
      <c r="AQ33" s="537"/>
      <c r="AR33" s="537"/>
      <c r="AS33" s="537"/>
      <c r="AT33" s="537"/>
      <c r="AU33" s="537"/>
      <c r="AV33" s="537"/>
      <c r="AW33" s="537"/>
      <c r="AX33" s="537"/>
      <c r="AY33" s="537"/>
      <c r="AZ33" s="537"/>
      <c r="BA33" s="537"/>
      <c r="BB33" s="537"/>
      <c r="BC33" s="537"/>
      <c r="BD33" s="537"/>
      <c r="BE33" s="537"/>
      <c r="BF33" s="537"/>
      <c r="BG33" s="537"/>
      <c r="BH33" s="537"/>
      <c r="BI33" s="537"/>
      <c r="BJ33" s="537"/>
      <c r="BK33" s="537"/>
      <c r="BL33" s="537"/>
      <c r="BM33" s="537"/>
      <c r="BN33" s="537"/>
      <c r="BO33" s="537"/>
      <c r="BP33" s="537"/>
      <c r="BQ33" s="537"/>
      <c r="BR33" s="537"/>
      <c r="BS33" s="537"/>
      <c r="BT33" s="537"/>
      <c r="BU33" s="537"/>
      <c r="BV33" s="537"/>
      <c r="BW33" s="537"/>
      <c r="BX33" s="537"/>
      <c r="BY33" s="537"/>
      <c r="BZ33" s="537"/>
      <c r="CA33" s="537"/>
      <c r="CB33" s="537"/>
      <c r="CC33" s="537"/>
      <c r="CD33" s="537"/>
      <c r="CE33" s="537"/>
      <c r="CF33" s="537"/>
      <c r="CG33" s="537"/>
      <c r="CH33" s="537"/>
      <c r="CI33" s="537"/>
      <c r="CJ33" s="537"/>
      <c r="CK33" s="537"/>
      <c r="CL33" s="537"/>
      <c r="CM33" s="537"/>
      <c r="CN33" s="537"/>
      <c r="CO33" s="537"/>
      <c r="CP33" s="537"/>
      <c r="CQ33" s="537"/>
      <c r="CR33" s="537"/>
      <c r="CS33" s="537"/>
      <c r="CT33" s="537"/>
      <c r="CU33" s="537"/>
      <c r="CV33" s="537"/>
      <c r="CW33" s="537"/>
      <c r="CX33" s="537"/>
      <c r="CY33" s="537"/>
      <c r="CZ33" s="537"/>
      <c r="DA33" s="537"/>
      <c r="DB33" s="537"/>
      <c r="DC33" s="537"/>
      <c r="DD33" s="537"/>
      <c r="DE33" s="537"/>
      <c r="DF33" s="537"/>
      <c r="DG33" s="537"/>
      <c r="DH33" s="537"/>
      <c r="DI33" s="537"/>
      <c r="DJ33" s="537"/>
      <c r="DK33" s="537"/>
      <c r="DL33" s="537"/>
      <c r="DM33" s="537"/>
      <c r="DN33" s="537"/>
      <c r="DO33" s="537"/>
      <c r="DP33" s="537"/>
      <c r="DQ33" s="537"/>
      <c r="DR33" s="537"/>
      <c r="DS33" s="537"/>
      <c r="DT33" s="537"/>
      <c r="DU33" s="537"/>
      <c r="DV33" s="537"/>
      <c r="DW33" s="537"/>
      <c r="DX33" s="537"/>
      <c r="DY33" s="537"/>
      <c r="DZ33" s="537"/>
      <c r="EA33" s="537"/>
      <c r="EB33" s="537"/>
      <c r="EC33" s="537"/>
      <c r="ED33" s="537"/>
      <c r="EE33" s="537"/>
      <c r="EF33" s="537"/>
      <c r="EG33" s="537"/>
      <c r="EH33" s="537"/>
      <c r="EI33" s="537"/>
      <c r="EJ33" s="537"/>
      <c r="EK33" s="537"/>
      <c r="EL33" s="537"/>
      <c r="EM33" s="537"/>
      <c r="EN33" s="537"/>
      <c r="EO33" s="537"/>
      <c r="EP33" s="537"/>
      <c r="EQ33" s="537"/>
      <c r="ER33" s="537"/>
      <c r="ES33" s="537"/>
      <c r="ET33" s="537"/>
      <c r="EU33" s="537"/>
      <c r="EV33" s="537"/>
      <c r="EW33" s="537"/>
      <c r="EX33" s="537"/>
      <c r="EY33" s="537"/>
      <c r="EZ33" s="537"/>
      <c r="FA33" s="537"/>
      <c r="FB33" s="537"/>
      <c r="FC33" s="537"/>
      <c r="FD33" s="537"/>
      <c r="FE33" s="537"/>
      <c r="FF33" s="537"/>
      <c r="FG33" s="537"/>
      <c r="FH33" s="537"/>
      <c r="FI33" s="537"/>
      <c r="FJ33" s="537"/>
      <c r="FK33" s="537"/>
      <c r="FL33" s="537"/>
      <c r="FM33" s="537"/>
      <c r="FN33" s="537"/>
      <c r="FO33" s="537"/>
      <c r="FP33" s="537"/>
      <c r="FQ33" s="537"/>
      <c r="FR33" s="537"/>
      <c r="FS33" s="537"/>
      <c r="FT33" s="537"/>
      <c r="FU33" s="537"/>
      <c r="FV33" s="537"/>
      <c r="FW33" s="537"/>
      <c r="FX33" s="537"/>
      <c r="FY33" s="537"/>
      <c r="FZ33" s="537"/>
      <c r="GA33" s="537"/>
      <c r="GB33" s="537"/>
      <c r="GC33" s="537"/>
      <c r="GD33" s="537"/>
      <c r="GE33" s="537"/>
      <c r="GF33" s="537"/>
      <c r="GG33" s="537"/>
      <c r="GH33" s="537"/>
      <c r="GI33" s="537"/>
      <c r="GJ33" s="537"/>
      <c r="GK33" s="537"/>
      <c r="GL33" s="537"/>
      <c r="GM33" s="537"/>
      <c r="GN33" s="537"/>
      <c r="GO33" s="537"/>
      <c r="GP33" s="537"/>
      <c r="GQ33" s="537"/>
      <c r="GR33" s="537"/>
      <c r="GS33" s="537"/>
      <c r="GT33" s="537"/>
      <c r="GU33" s="537"/>
      <c r="GV33" s="537"/>
      <c r="GW33" s="537"/>
      <c r="GX33" s="537"/>
      <c r="GY33" s="537"/>
      <c r="GZ33" s="537"/>
      <c r="HA33" s="537"/>
      <c r="HB33" s="537"/>
      <c r="HC33" s="537"/>
      <c r="HD33" s="537"/>
      <c r="HE33" s="537"/>
      <c r="HF33" s="537"/>
      <c r="HG33" s="537"/>
      <c r="HH33" s="537"/>
      <c r="HI33" s="537"/>
      <c r="HJ33" s="537"/>
      <c r="HK33" s="537"/>
      <c r="HL33" s="537"/>
      <c r="HM33" s="537"/>
      <c r="HN33" s="537"/>
      <c r="HO33" s="537"/>
      <c r="HP33" s="537"/>
      <c r="HQ33" s="537"/>
      <c r="HR33" s="537"/>
      <c r="HS33" s="537"/>
      <c r="HT33" s="537"/>
      <c r="HU33" s="537"/>
      <c r="HV33" s="537"/>
      <c r="HW33" s="537"/>
      <c r="HX33" s="537"/>
      <c r="HY33" s="537"/>
      <c r="HZ33" s="537"/>
      <c r="IA33" s="537"/>
      <c r="IB33" s="537"/>
      <c r="IC33" s="537"/>
      <c r="ID33" s="537"/>
      <c r="IE33" s="537"/>
      <c r="IF33" s="537"/>
      <c r="IG33" s="537"/>
      <c r="IH33" s="537"/>
      <c r="II33" s="537"/>
      <c r="IJ33" s="537"/>
      <c r="IK33" s="537"/>
      <c r="IL33" s="537"/>
      <c r="IM33" s="537"/>
      <c r="IN33" s="537"/>
      <c r="IO33" s="537"/>
      <c r="IP33" s="537"/>
      <c r="IQ33" s="537"/>
      <c r="IR33" s="537"/>
      <c r="IS33" s="537"/>
      <c r="IT33" s="537"/>
      <c r="IU33" s="537"/>
      <c r="IV33" s="537"/>
      <c r="IW33" s="537"/>
    </row>
    <row r="34" customFormat="false" ht="12.75" hidden="false" customHeight="false" outlineLevel="0" collapsed="false">
      <c r="D34" s="395"/>
      <c r="AI34" s="537"/>
      <c r="AJ34" s="537"/>
      <c r="AK34" s="537"/>
      <c r="AL34" s="537"/>
      <c r="AM34" s="537"/>
      <c r="AN34" s="537"/>
      <c r="AO34" s="537"/>
      <c r="AP34" s="537"/>
      <c r="AQ34" s="537"/>
      <c r="AR34" s="537"/>
      <c r="AS34" s="537"/>
      <c r="AT34" s="537"/>
      <c r="AU34" s="537"/>
      <c r="AV34" s="537"/>
      <c r="AW34" s="537"/>
      <c r="AX34" s="537"/>
      <c r="AY34" s="537"/>
      <c r="AZ34" s="537"/>
      <c r="BA34" s="537"/>
      <c r="BB34" s="537"/>
      <c r="BC34" s="537"/>
      <c r="BD34" s="537"/>
      <c r="BE34" s="537"/>
      <c r="BF34" s="537"/>
      <c r="BG34" s="537"/>
      <c r="BH34" s="537"/>
      <c r="BI34" s="537"/>
      <c r="BJ34" s="537"/>
      <c r="BK34" s="537"/>
      <c r="BL34" s="537"/>
      <c r="BM34" s="537"/>
      <c r="BN34" s="537"/>
      <c r="BO34" s="537"/>
      <c r="BP34" s="537"/>
      <c r="BQ34" s="537"/>
      <c r="BR34" s="537"/>
      <c r="BS34" s="537"/>
      <c r="BT34" s="537"/>
      <c r="BU34" s="537"/>
      <c r="BV34" s="537"/>
      <c r="BW34" s="537"/>
      <c r="BX34" s="537"/>
      <c r="BY34" s="537"/>
      <c r="BZ34" s="537"/>
      <c r="CA34" s="537"/>
      <c r="CB34" s="537"/>
      <c r="CC34" s="537"/>
      <c r="CD34" s="537"/>
      <c r="CE34" s="537"/>
      <c r="CF34" s="537"/>
      <c r="CG34" s="537"/>
      <c r="CH34" s="537"/>
      <c r="CI34" s="537"/>
      <c r="CJ34" s="537"/>
      <c r="CK34" s="537"/>
      <c r="CL34" s="537"/>
      <c r="CM34" s="537"/>
      <c r="CN34" s="537"/>
      <c r="CO34" s="537"/>
      <c r="CP34" s="537"/>
      <c r="CQ34" s="537"/>
      <c r="CR34" s="537"/>
      <c r="CS34" s="537"/>
      <c r="CT34" s="537"/>
      <c r="CU34" s="537"/>
      <c r="CV34" s="537"/>
      <c r="CW34" s="537"/>
      <c r="CX34" s="537"/>
      <c r="CY34" s="537"/>
      <c r="CZ34" s="537"/>
      <c r="DA34" s="537"/>
      <c r="DB34" s="537"/>
      <c r="DC34" s="537"/>
      <c r="DD34" s="537"/>
      <c r="DE34" s="537"/>
      <c r="DF34" s="537"/>
      <c r="DG34" s="537"/>
      <c r="DH34" s="537"/>
      <c r="DI34" s="537"/>
      <c r="DJ34" s="537"/>
      <c r="DK34" s="537"/>
      <c r="DL34" s="537"/>
      <c r="DM34" s="537"/>
      <c r="DN34" s="537"/>
      <c r="DO34" s="537"/>
      <c r="DP34" s="537"/>
      <c r="DQ34" s="537"/>
      <c r="DR34" s="537"/>
      <c r="DS34" s="537"/>
      <c r="DT34" s="537"/>
      <c r="DU34" s="537"/>
      <c r="DV34" s="537"/>
      <c r="DW34" s="537"/>
      <c r="DX34" s="537"/>
      <c r="DY34" s="537"/>
      <c r="DZ34" s="537"/>
      <c r="EA34" s="537"/>
      <c r="EB34" s="537"/>
      <c r="EC34" s="537"/>
      <c r="ED34" s="537"/>
      <c r="EE34" s="537"/>
      <c r="EF34" s="537"/>
      <c r="EG34" s="537"/>
      <c r="EH34" s="537"/>
      <c r="EI34" s="537"/>
      <c r="EJ34" s="537"/>
      <c r="EK34" s="537"/>
      <c r="EL34" s="537"/>
      <c r="EM34" s="537"/>
      <c r="EN34" s="537"/>
      <c r="EO34" s="537"/>
      <c r="EP34" s="537"/>
      <c r="EQ34" s="537"/>
      <c r="ER34" s="537"/>
      <c r="ES34" s="537"/>
      <c r="ET34" s="537"/>
      <c r="EU34" s="537"/>
      <c r="EV34" s="537"/>
      <c r="EW34" s="537"/>
      <c r="EX34" s="537"/>
      <c r="EY34" s="537"/>
      <c r="EZ34" s="537"/>
      <c r="FA34" s="537"/>
      <c r="FB34" s="537"/>
      <c r="FC34" s="537"/>
      <c r="FD34" s="537"/>
      <c r="FE34" s="537"/>
      <c r="FF34" s="537"/>
      <c r="FG34" s="537"/>
      <c r="FH34" s="537"/>
      <c r="FI34" s="537"/>
      <c r="FJ34" s="537"/>
      <c r="FK34" s="537"/>
      <c r="FL34" s="537"/>
      <c r="FM34" s="537"/>
      <c r="FN34" s="537"/>
      <c r="FO34" s="537"/>
      <c r="FP34" s="537"/>
      <c r="FQ34" s="537"/>
      <c r="FR34" s="537"/>
      <c r="FS34" s="537"/>
      <c r="FT34" s="537"/>
      <c r="FU34" s="537"/>
      <c r="FV34" s="537"/>
      <c r="FW34" s="537"/>
      <c r="FX34" s="537"/>
      <c r="FY34" s="537"/>
      <c r="FZ34" s="537"/>
      <c r="GA34" s="537"/>
      <c r="GB34" s="537"/>
      <c r="GC34" s="537"/>
      <c r="GD34" s="537"/>
      <c r="GE34" s="537"/>
      <c r="GF34" s="537"/>
      <c r="GG34" s="537"/>
      <c r="GH34" s="537"/>
      <c r="GI34" s="537"/>
      <c r="GJ34" s="537"/>
      <c r="GK34" s="537"/>
      <c r="GL34" s="537"/>
      <c r="GM34" s="537"/>
      <c r="GN34" s="537"/>
      <c r="GO34" s="537"/>
      <c r="GP34" s="537"/>
      <c r="GQ34" s="537"/>
      <c r="GR34" s="537"/>
      <c r="GS34" s="537"/>
      <c r="GT34" s="537"/>
      <c r="GU34" s="537"/>
      <c r="GV34" s="537"/>
      <c r="GW34" s="537"/>
      <c r="GX34" s="537"/>
      <c r="GY34" s="537"/>
      <c r="GZ34" s="537"/>
      <c r="HA34" s="537"/>
      <c r="HB34" s="537"/>
      <c r="HC34" s="537"/>
      <c r="HD34" s="537"/>
      <c r="HE34" s="537"/>
      <c r="HF34" s="537"/>
      <c r="HG34" s="537"/>
      <c r="HH34" s="537"/>
      <c r="HI34" s="537"/>
      <c r="HJ34" s="537"/>
      <c r="HK34" s="537"/>
      <c r="HL34" s="537"/>
      <c r="HM34" s="537"/>
      <c r="HN34" s="537"/>
      <c r="HO34" s="537"/>
      <c r="HP34" s="537"/>
      <c r="HQ34" s="537"/>
      <c r="HR34" s="537"/>
      <c r="HS34" s="537"/>
      <c r="HT34" s="537"/>
      <c r="HU34" s="537"/>
      <c r="HV34" s="537"/>
      <c r="HW34" s="537"/>
      <c r="HX34" s="537"/>
      <c r="HY34" s="537"/>
      <c r="HZ34" s="537"/>
      <c r="IA34" s="537"/>
      <c r="IB34" s="537"/>
      <c r="IC34" s="537"/>
      <c r="ID34" s="537"/>
      <c r="IE34" s="537"/>
      <c r="IF34" s="537"/>
      <c r="IG34" s="537"/>
      <c r="IH34" s="537"/>
      <c r="II34" s="537"/>
      <c r="IJ34" s="537"/>
      <c r="IK34" s="537"/>
      <c r="IL34" s="537"/>
      <c r="IM34" s="537"/>
      <c r="IN34" s="537"/>
      <c r="IO34" s="537"/>
      <c r="IP34" s="537"/>
      <c r="IQ34" s="537"/>
      <c r="IR34" s="537"/>
      <c r="IS34" s="537"/>
      <c r="IT34" s="537"/>
      <c r="IU34" s="537"/>
      <c r="IV34" s="537"/>
      <c r="IW34" s="537"/>
    </row>
    <row r="35" customFormat="false" ht="12.75" hidden="false" customHeight="false" outlineLevel="0" collapsed="false">
      <c r="B35" s="537"/>
      <c r="C35" s="537"/>
      <c r="D35" s="557"/>
      <c r="E35" s="557"/>
      <c r="F35" s="557"/>
      <c r="G35" s="557"/>
      <c r="H35" s="557"/>
      <c r="I35" s="557"/>
      <c r="J35" s="557"/>
      <c r="K35" s="557"/>
      <c r="L35" s="557"/>
      <c r="M35" s="557"/>
      <c r="N35" s="557"/>
      <c r="O35" s="557"/>
      <c r="P35" s="557"/>
      <c r="Q35" s="557"/>
      <c r="R35" s="557"/>
      <c r="S35" s="557"/>
      <c r="T35" s="557"/>
      <c r="U35" s="557"/>
      <c r="V35" s="557"/>
      <c r="W35" s="557"/>
      <c r="X35" s="557"/>
      <c r="Y35" s="557"/>
      <c r="Z35" s="557"/>
      <c r="AA35" s="557"/>
      <c r="AB35" s="557"/>
      <c r="AC35" s="557"/>
      <c r="AD35" s="557"/>
      <c r="AE35" s="557"/>
      <c r="AF35" s="557"/>
      <c r="AG35" s="557"/>
      <c r="AH35" s="557"/>
      <c r="AI35" s="537"/>
      <c r="AJ35" s="537"/>
      <c r="AK35" s="537"/>
      <c r="AL35" s="537"/>
      <c r="AM35" s="537"/>
      <c r="AN35" s="537"/>
      <c r="AO35" s="537"/>
      <c r="AP35" s="537"/>
      <c r="AQ35" s="537"/>
      <c r="AR35" s="537"/>
      <c r="AS35" s="537"/>
      <c r="AT35" s="537"/>
      <c r="AU35" s="537"/>
      <c r="AV35" s="537"/>
      <c r="AW35" s="537"/>
      <c r="AX35" s="537"/>
      <c r="AY35" s="537"/>
      <c r="AZ35" s="537"/>
      <c r="BA35" s="537"/>
      <c r="BB35" s="537"/>
      <c r="BC35" s="537"/>
      <c r="BD35" s="537"/>
      <c r="BE35" s="537"/>
      <c r="BF35" s="537"/>
      <c r="BG35" s="537"/>
      <c r="BH35" s="537"/>
      <c r="BI35" s="537"/>
      <c r="BJ35" s="537"/>
      <c r="BK35" s="537"/>
      <c r="BL35" s="537"/>
      <c r="BM35" s="537"/>
      <c r="BN35" s="537"/>
      <c r="BO35" s="537"/>
      <c r="BP35" s="537"/>
      <c r="BQ35" s="537"/>
      <c r="BR35" s="537"/>
      <c r="BS35" s="537"/>
      <c r="BT35" s="537"/>
      <c r="BU35" s="537"/>
      <c r="BV35" s="537"/>
      <c r="BW35" s="537"/>
      <c r="BX35" s="537"/>
      <c r="BY35" s="537"/>
      <c r="BZ35" s="537"/>
      <c r="CA35" s="537"/>
      <c r="CB35" s="537"/>
      <c r="CC35" s="537"/>
      <c r="CD35" s="537"/>
      <c r="CE35" s="537"/>
      <c r="CF35" s="537"/>
      <c r="CG35" s="537"/>
      <c r="CH35" s="537"/>
      <c r="CI35" s="537"/>
      <c r="CJ35" s="537"/>
      <c r="CK35" s="537"/>
      <c r="CL35" s="537"/>
      <c r="CM35" s="537"/>
      <c r="CN35" s="537"/>
      <c r="CO35" s="537"/>
      <c r="CP35" s="537"/>
      <c r="CQ35" s="537"/>
      <c r="CR35" s="537"/>
      <c r="CS35" s="537"/>
      <c r="CT35" s="537"/>
      <c r="CU35" s="537"/>
      <c r="CV35" s="537"/>
      <c r="CW35" s="537"/>
      <c r="CX35" s="537"/>
      <c r="CY35" s="537"/>
      <c r="CZ35" s="537"/>
      <c r="DA35" s="537"/>
      <c r="DB35" s="537"/>
      <c r="DC35" s="537"/>
      <c r="DD35" s="537"/>
      <c r="DE35" s="537"/>
      <c r="DF35" s="537"/>
      <c r="DG35" s="537"/>
      <c r="DH35" s="537"/>
      <c r="DI35" s="537"/>
      <c r="DJ35" s="537"/>
      <c r="DK35" s="537"/>
      <c r="DL35" s="537"/>
      <c r="DM35" s="537"/>
      <c r="DN35" s="537"/>
      <c r="DO35" s="537"/>
      <c r="DP35" s="537"/>
      <c r="DQ35" s="537"/>
      <c r="DR35" s="537"/>
      <c r="DS35" s="537"/>
      <c r="DT35" s="537"/>
      <c r="DU35" s="537"/>
      <c r="DV35" s="537"/>
      <c r="DW35" s="537"/>
      <c r="DX35" s="537"/>
      <c r="DY35" s="537"/>
      <c r="DZ35" s="537"/>
      <c r="EA35" s="537"/>
      <c r="EB35" s="537"/>
      <c r="EC35" s="537"/>
      <c r="ED35" s="537"/>
      <c r="EE35" s="537"/>
      <c r="EF35" s="537"/>
      <c r="EG35" s="537"/>
      <c r="EH35" s="537"/>
      <c r="EI35" s="537"/>
      <c r="EJ35" s="537"/>
      <c r="EK35" s="537"/>
      <c r="EL35" s="537"/>
      <c r="EM35" s="537"/>
      <c r="EN35" s="537"/>
      <c r="EO35" s="537"/>
      <c r="EP35" s="537"/>
      <c r="EQ35" s="537"/>
      <c r="ER35" s="537"/>
      <c r="ES35" s="537"/>
      <c r="ET35" s="537"/>
      <c r="EU35" s="537"/>
      <c r="EV35" s="537"/>
      <c r="EW35" s="537"/>
      <c r="EX35" s="537"/>
      <c r="EY35" s="537"/>
      <c r="EZ35" s="537"/>
      <c r="FA35" s="537"/>
      <c r="FB35" s="537"/>
      <c r="FC35" s="537"/>
      <c r="FD35" s="537"/>
      <c r="FE35" s="537"/>
      <c r="FF35" s="537"/>
      <c r="FG35" s="537"/>
      <c r="FH35" s="537"/>
      <c r="FI35" s="537"/>
      <c r="FJ35" s="537"/>
      <c r="FK35" s="537"/>
      <c r="FL35" s="537"/>
      <c r="FM35" s="537"/>
      <c r="FN35" s="537"/>
      <c r="FO35" s="537"/>
      <c r="FP35" s="537"/>
      <c r="FQ35" s="537"/>
      <c r="FR35" s="537"/>
      <c r="FS35" s="537"/>
      <c r="FT35" s="537"/>
      <c r="FU35" s="537"/>
      <c r="FV35" s="537"/>
      <c r="FW35" s="537"/>
      <c r="FX35" s="537"/>
      <c r="FY35" s="537"/>
      <c r="FZ35" s="537"/>
      <c r="GA35" s="537"/>
      <c r="GB35" s="537"/>
      <c r="GC35" s="537"/>
      <c r="GD35" s="537"/>
      <c r="GE35" s="537"/>
      <c r="GF35" s="537"/>
      <c r="GG35" s="537"/>
      <c r="GH35" s="537"/>
      <c r="GI35" s="537"/>
      <c r="GJ35" s="537"/>
      <c r="GK35" s="537"/>
      <c r="GL35" s="537"/>
      <c r="GM35" s="537"/>
      <c r="GN35" s="537"/>
      <c r="GO35" s="537"/>
      <c r="GP35" s="537"/>
      <c r="GQ35" s="537"/>
      <c r="GR35" s="537"/>
      <c r="GS35" s="537"/>
      <c r="GT35" s="537"/>
      <c r="GU35" s="537"/>
      <c r="GV35" s="537"/>
      <c r="GW35" s="537"/>
      <c r="GX35" s="537"/>
      <c r="GY35" s="537"/>
      <c r="GZ35" s="537"/>
      <c r="HA35" s="537"/>
      <c r="HB35" s="537"/>
      <c r="HC35" s="537"/>
      <c r="HD35" s="537"/>
      <c r="HE35" s="537"/>
      <c r="HF35" s="537"/>
      <c r="HG35" s="537"/>
      <c r="HH35" s="537"/>
      <c r="HI35" s="537"/>
      <c r="HJ35" s="537"/>
      <c r="HK35" s="537"/>
      <c r="HL35" s="537"/>
      <c r="HM35" s="537"/>
      <c r="HN35" s="537"/>
      <c r="HO35" s="537"/>
      <c r="HP35" s="537"/>
      <c r="HQ35" s="537"/>
      <c r="HR35" s="537"/>
      <c r="HS35" s="537"/>
      <c r="HT35" s="537"/>
      <c r="HU35" s="537"/>
      <c r="HV35" s="537"/>
      <c r="HW35" s="537"/>
      <c r="HX35" s="537"/>
      <c r="HY35" s="537"/>
      <c r="HZ35" s="537"/>
      <c r="IA35" s="537"/>
      <c r="IB35" s="537"/>
      <c r="IC35" s="537"/>
      <c r="ID35" s="537"/>
      <c r="IE35" s="537"/>
      <c r="IF35" s="537"/>
      <c r="IG35" s="537"/>
      <c r="IH35" s="537"/>
      <c r="II35" s="537"/>
      <c r="IJ35" s="537"/>
      <c r="IK35" s="537"/>
      <c r="IL35" s="537"/>
      <c r="IM35" s="537"/>
      <c r="IN35" s="537"/>
      <c r="IO35" s="537"/>
      <c r="IP35" s="537"/>
      <c r="IQ35" s="537"/>
      <c r="IR35" s="537"/>
      <c r="IS35" s="537"/>
      <c r="IT35" s="537"/>
      <c r="IU35" s="537"/>
      <c r="IV35" s="537"/>
      <c r="IW35" s="537"/>
    </row>
    <row r="36" customFormat="false" ht="12.75" hidden="false" customHeight="false" outlineLevel="0" collapsed="false">
      <c r="A36" s="534" t="s">
        <v>378</v>
      </c>
      <c r="B36" s="537"/>
      <c r="C36" s="537"/>
      <c r="D36" s="537"/>
      <c r="E36" s="537"/>
      <c r="F36" s="537"/>
      <c r="G36" s="537"/>
      <c r="H36" s="537"/>
      <c r="I36" s="537"/>
      <c r="J36" s="537"/>
      <c r="K36" s="537"/>
      <c r="L36" s="537"/>
      <c r="M36" s="537"/>
      <c r="N36" s="537"/>
      <c r="O36" s="537"/>
      <c r="P36" s="537"/>
      <c r="Q36" s="537"/>
      <c r="R36" s="537"/>
      <c r="S36" s="537"/>
      <c r="T36" s="537"/>
      <c r="U36" s="537"/>
      <c r="V36" s="537"/>
      <c r="W36" s="537"/>
      <c r="X36" s="537"/>
      <c r="Y36" s="537"/>
      <c r="Z36" s="537"/>
      <c r="AA36" s="537"/>
      <c r="AB36" s="537"/>
      <c r="AC36" s="537"/>
      <c r="AD36" s="537"/>
      <c r="AE36" s="537"/>
      <c r="AF36" s="537"/>
      <c r="AG36" s="537"/>
      <c r="AH36" s="537"/>
      <c r="AI36" s="537"/>
      <c r="AJ36" s="537"/>
      <c r="AK36" s="537"/>
      <c r="AL36" s="537"/>
      <c r="AM36" s="537"/>
      <c r="AN36" s="537"/>
      <c r="AO36" s="537"/>
      <c r="AP36" s="537"/>
      <c r="AQ36" s="537"/>
      <c r="AR36" s="537"/>
      <c r="AS36" s="537"/>
      <c r="AT36" s="537"/>
      <c r="AU36" s="537"/>
      <c r="AV36" s="537"/>
      <c r="AW36" s="537"/>
      <c r="AX36" s="537"/>
      <c r="AY36" s="537"/>
      <c r="AZ36" s="537"/>
      <c r="BA36" s="537"/>
      <c r="BB36" s="537"/>
      <c r="BC36" s="537"/>
      <c r="BD36" s="537"/>
      <c r="BE36" s="537"/>
      <c r="BF36" s="537"/>
      <c r="BG36" s="537"/>
      <c r="BH36" s="537"/>
      <c r="BI36" s="537"/>
      <c r="BJ36" s="537"/>
      <c r="BK36" s="537"/>
      <c r="BL36" s="537"/>
      <c r="BM36" s="537"/>
      <c r="BN36" s="537"/>
      <c r="BO36" s="537"/>
      <c r="BP36" s="537"/>
      <c r="BQ36" s="537"/>
      <c r="BR36" s="537"/>
      <c r="BS36" s="537"/>
      <c r="BT36" s="537"/>
      <c r="BU36" s="537"/>
      <c r="BV36" s="537"/>
      <c r="BW36" s="537"/>
      <c r="BX36" s="537"/>
      <c r="BY36" s="537"/>
      <c r="BZ36" s="537"/>
      <c r="CA36" s="537"/>
      <c r="CB36" s="537"/>
      <c r="CC36" s="537"/>
      <c r="CD36" s="537"/>
      <c r="CE36" s="537"/>
      <c r="CF36" s="537"/>
      <c r="CG36" s="537"/>
      <c r="CH36" s="537"/>
      <c r="CI36" s="537"/>
      <c r="CJ36" s="537"/>
      <c r="CK36" s="537"/>
      <c r="CL36" s="537"/>
      <c r="CM36" s="537"/>
      <c r="CN36" s="537"/>
      <c r="CO36" s="537"/>
      <c r="CP36" s="537"/>
      <c r="CQ36" s="537"/>
      <c r="CR36" s="537"/>
      <c r="CS36" s="537"/>
      <c r="CT36" s="537"/>
      <c r="CU36" s="537"/>
      <c r="CV36" s="537"/>
      <c r="CW36" s="537"/>
      <c r="CX36" s="537"/>
      <c r="CY36" s="537"/>
      <c r="CZ36" s="537"/>
      <c r="DA36" s="537"/>
      <c r="DB36" s="537"/>
      <c r="DC36" s="537"/>
      <c r="DD36" s="537"/>
      <c r="DE36" s="537"/>
      <c r="DF36" s="537"/>
      <c r="DG36" s="537"/>
      <c r="DH36" s="537"/>
      <c r="DI36" s="537"/>
      <c r="DJ36" s="537"/>
      <c r="DK36" s="537"/>
      <c r="DL36" s="537"/>
      <c r="DM36" s="537"/>
      <c r="DN36" s="537"/>
      <c r="DO36" s="537"/>
      <c r="DP36" s="537"/>
      <c r="DQ36" s="537"/>
      <c r="DR36" s="537"/>
      <c r="DS36" s="537"/>
      <c r="DT36" s="537"/>
      <c r="DU36" s="537"/>
      <c r="DV36" s="537"/>
      <c r="DW36" s="537"/>
      <c r="DX36" s="537"/>
      <c r="DY36" s="537"/>
      <c r="DZ36" s="537"/>
      <c r="EA36" s="537"/>
      <c r="EB36" s="537"/>
      <c r="EC36" s="537"/>
      <c r="ED36" s="537"/>
      <c r="EE36" s="537"/>
      <c r="EF36" s="537"/>
      <c r="EG36" s="537"/>
      <c r="EH36" s="537"/>
      <c r="EI36" s="537"/>
      <c r="EJ36" s="537"/>
      <c r="EK36" s="537"/>
      <c r="EL36" s="537"/>
      <c r="EM36" s="537"/>
      <c r="EN36" s="537"/>
      <c r="EO36" s="537"/>
      <c r="EP36" s="537"/>
      <c r="EQ36" s="537"/>
      <c r="ER36" s="537"/>
      <c r="ES36" s="537"/>
      <c r="ET36" s="537"/>
      <c r="EU36" s="537"/>
      <c r="EV36" s="537"/>
      <c r="EW36" s="537"/>
      <c r="EX36" s="537"/>
      <c r="EY36" s="537"/>
      <c r="EZ36" s="537"/>
      <c r="FA36" s="537"/>
      <c r="FB36" s="537"/>
      <c r="FC36" s="537"/>
      <c r="FD36" s="537"/>
      <c r="FE36" s="537"/>
      <c r="FF36" s="537"/>
      <c r="FG36" s="537"/>
      <c r="FH36" s="537"/>
      <c r="FI36" s="537"/>
      <c r="FJ36" s="537"/>
      <c r="FK36" s="537"/>
      <c r="FL36" s="537"/>
      <c r="FM36" s="537"/>
      <c r="FN36" s="537"/>
      <c r="FO36" s="537"/>
      <c r="FP36" s="537"/>
      <c r="FQ36" s="537"/>
      <c r="FR36" s="537"/>
      <c r="FS36" s="537"/>
      <c r="FT36" s="537"/>
      <c r="FU36" s="537"/>
      <c r="FV36" s="537"/>
      <c r="FW36" s="537"/>
      <c r="FX36" s="537"/>
      <c r="FY36" s="537"/>
      <c r="FZ36" s="537"/>
      <c r="GA36" s="537"/>
      <c r="GB36" s="537"/>
      <c r="GC36" s="537"/>
      <c r="GD36" s="537"/>
      <c r="GE36" s="537"/>
      <c r="GF36" s="537"/>
      <c r="GG36" s="537"/>
      <c r="GH36" s="537"/>
      <c r="GI36" s="537"/>
      <c r="GJ36" s="537"/>
      <c r="GK36" s="537"/>
      <c r="GL36" s="537"/>
      <c r="GM36" s="537"/>
      <c r="GN36" s="537"/>
      <c r="GO36" s="537"/>
      <c r="GP36" s="537"/>
      <c r="GQ36" s="537"/>
      <c r="GR36" s="537"/>
      <c r="GS36" s="537"/>
      <c r="GT36" s="537"/>
      <c r="GU36" s="537"/>
      <c r="GV36" s="537"/>
      <c r="GW36" s="537"/>
      <c r="GX36" s="537"/>
      <c r="GY36" s="537"/>
      <c r="GZ36" s="537"/>
      <c r="HA36" s="537"/>
      <c r="HB36" s="537"/>
      <c r="HC36" s="537"/>
      <c r="HD36" s="537"/>
      <c r="HE36" s="537"/>
      <c r="HF36" s="537"/>
      <c r="HG36" s="537"/>
      <c r="HH36" s="537"/>
      <c r="HI36" s="537"/>
      <c r="HJ36" s="537"/>
      <c r="HK36" s="537"/>
      <c r="HL36" s="537"/>
      <c r="HM36" s="537"/>
      <c r="HN36" s="537"/>
      <c r="HO36" s="537"/>
      <c r="HP36" s="537"/>
      <c r="HQ36" s="537"/>
      <c r="HR36" s="537"/>
      <c r="HS36" s="537"/>
      <c r="HT36" s="537"/>
      <c r="HU36" s="537"/>
      <c r="HV36" s="537"/>
      <c r="HW36" s="537"/>
      <c r="HX36" s="537"/>
      <c r="HY36" s="537"/>
      <c r="HZ36" s="537"/>
      <c r="IA36" s="537"/>
      <c r="IB36" s="537"/>
      <c r="IC36" s="537"/>
      <c r="ID36" s="537"/>
      <c r="IE36" s="537"/>
      <c r="IF36" s="537"/>
      <c r="IG36" s="537"/>
      <c r="IH36" s="537"/>
      <c r="II36" s="537"/>
      <c r="IJ36" s="537"/>
      <c r="IK36" s="537"/>
      <c r="IL36" s="537"/>
      <c r="IM36" s="537"/>
      <c r="IN36" s="537"/>
      <c r="IO36" s="537"/>
      <c r="IP36" s="537"/>
      <c r="IQ36" s="537"/>
      <c r="IR36" s="537"/>
      <c r="IS36" s="537"/>
      <c r="IT36" s="537"/>
      <c r="IU36" s="537"/>
      <c r="IV36" s="537"/>
      <c r="IW36" s="537"/>
    </row>
    <row r="37" customFormat="false" ht="12.75" hidden="false" customHeight="false" outlineLevel="0" collapsed="false">
      <c r="A37" s="534"/>
      <c r="B37" s="538" t="s">
        <v>371</v>
      </c>
      <c r="C37" s="558" t="s">
        <v>379</v>
      </c>
      <c r="D37" s="537"/>
      <c r="E37" s="537"/>
      <c r="F37" s="537"/>
      <c r="G37" s="537"/>
      <c r="H37" s="537"/>
      <c r="I37" s="537"/>
      <c r="J37" s="537"/>
      <c r="K37" s="537"/>
      <c r="L37" s="537"/>
      <c r="M37" s="537"/>
      <c r="N37" s="537"/>
      <c r="O37" s="537"/>
      <c r="P37" s="537"/>
      <c r="Q37" s="537"/>
      <c r="R37" s="537"/>
      <c r="S37" s="537"/>
      <c r="T37" s="537"/>
      <c r="U37" s="537"/>
      <c r="V37" s="537"/>
      <c r="W37" s="537"/>
      <c r="X37" s="537"/>
      <c r="Y37" s="537"/>
      <c r="Z37" s="537"/>
      <c r="AA37" s="537"/>
      <c r="AB37" s="537"/>
      <c r="AC37" s="537"/>
      <c r="AD37" s="537"/>
      <c r="AE37" s="537"/>
      <c r="AF37" s="537"/>
      <c r="AG37" s="537"/>
      <c r="AH37" s="537"/>
      <c r="AI37" s="537"/>
      <c r="AJ37" s="537"/>
      <c r="AK37" s="537"/>
      <c r="AL37" s="537"/>
      <c r="AM37" s="537"/>
      <c r="AN37" s="537"/>
      <c r="AO37" s="537"/>
      <c r="AP37" s="537"/>
      <c r="AQ37" s="537"/>
      <c r="AR37" s="537"/>
      <c r="AS37" s="537"/>
      <c r="AT37" s="537"/>
      <c r="AU37" s="537"/>
      <c r="AV37" s="537"/>
      <c r="AW37" s="537"/>
      <c r="AX37" s="537"/>
      <c r="AY37" s="537"/>
      <c r="AZ37" s="537"/>
      <c r="BA37" s="537"/>
      <c r="BB37" s="537"/>
      <c r="BC37" s="537"/>
      <c r="BD37" s="537"/>
      <c r="BE37" s="537"/>
      <c r="BF37" s="537"/>
      <c r="BG37" s="537"/>
      <c r="BH37" s="537"/>
      <c r="BI37" s="537"/>
      <c r="BJ37" s="537"/>
      <c r="BK37" s="537"/>
      <c r="BL37" s="537"/>
      <c r="BM37" s="537"/>
      <c r="BN37" s="537"/>
      <c r="BO37" s="537"/>
      <c r="BP37" s="537"/>
      <c r="BQ37" s="537"/>
      <c r="BR37" s="537"/>
      <c r="BS37" s="537"/>
      <c r="BT37" s="537"/>
      <c r="BU37" s="537"/>
      <c r="BV37" s="537"/>
      <c r="BW37" s="537"/>
      <c r="BX37" s="537"/>
      <c r="BY37" s="537"/>
      <c r="BZ37" s="537"/>
      <c r="CA37" s="537"/>
      <c r="CB37" s="537"/>
      <c r="CC37" s="537"/>
      <c r="CD37" s="537"/>
      <c r="CE37" s="537"/>
      <c r="CF37" s="537"/>
      <c r="CG37" s="537"/>
      <c r="CH37" s="537"/>
      <c r="CI37" s="537"/>
      <c r="CJ37" s="537"/>
      <c r="CK37" s="537"/>
      <c r="CL37" s="537"/>
      <c r="CM37" s="537"/>
      <c r="CN37" s="537"/>
      <c r="CO37" s="537"/>
      <c r="CP37" s="537"/>
      <c r="CQ37" s="537"/>
      <c r="CR37" s="537"/>
      <c r="CS37" s="537"/>
      <c r="CT37" s="537"/>
      <c r="CU37" s="537"/>
      <c r="CV37" s="537"/>
      <c r="CW37" s="537"/>
      <c r="CX37" s="537"/>
      <c r="CY37" s="537"/>
      <c r="CZ37" s="537"/>
      <c r="DA37" s="537"/>
      <c r="DB37" s="537"/>
      <c r="DC37" s="537"/>
      <c r="DD37" s="537"/>
      <c r="DE37" s="537"/>
      <c r="DF37" s="537"/>
      <c r="DG37" s="537"/>
      <c r="DH37" s="537"/>
      <c r="DI37" s="537"/>
      <c r="DJ37" s="537"/>
      <c r="DK37" s="537"/>
      <c r="DL37" s="537"/>
      <c r="DM37" s="537"/>
      <c r="DN37" s="537"/>
      <c r="DO37" s="537"/>
      <c r="DP37" s="537"/>
      <c r="DQ37" s="537"/>
      <c r="DR37" s="537"/>
      <c r="DS37" s="537"/>
      <c r="DT37" s="537"/>
      <c r="DU37" s="537"/>
      <c r="DV37" s="537"/>
      <c r="DW37" s="537"/>
      <c r="DX37" s="537"/>
      <c r="DY37" s="537"/>
      <c r="DZ37" s="537"/>
      <c r="EA37" s="537"/>
      <c r="EB37" s="537"/>
      <c r="EC37" s="537"/>
      <c r="ED37" s="537"/>
      <c r="EE37" s="537"/>
      <c r="EF37" s="537"/>
      <c r="EG37" s="537"/>
      <c r="EH37" s="537"/>
      <c r="EI37" s="537"/>
      <c r="EJ37" s="537"/>
      <c r="EK37" s="537"/>
      <c r="EL37" s="537"/>
      <c r="EM37" s="537"/>
      <c r="EN37" s="537"/>
      <c r="EO37" s="537"/>
      <c r="EP37" s="537"/>
      <c r="EQ37" s="537"/>
      <c r="ER37" s="537"/>
      <c r="ES37" s="537"/>
      <c r="ET37" s="537"/>
      <c r="EU37" s="537"/>
      <c r="EV37" s="537"/>
      <c r="EW37" s="537"/>
      <c r="EX37" s="537"/>
      <c r="EY37" s="537"/>
      <c r="EZ37" s="537"/>
      <c r="FA37" s="537"/>
      <c r="FB37" s="537"/>
      <c r="FC37" s="537"/>
      <c r="FD37" s="537"/>
      <c r="FE37" s="537"/>
      <c r="FF37" s="537"/>
      <c r="FG37" s="537"/>
      <c r="FH37" s="537"/>
      <c r="FI37" s="537"/>
      <c r="FJ37" s="537"/>
      <c r="FK37" s="537"/>
      <c r="FL37" s="537"/>
      <c r="FM37" s="537"/>
      <c r="FN37" s="537"/>
      <c r="FO37" s="537"/>
      <c r="FP37" s="537"/>
      <c r="FQ37" s="537"/>
      <c r="FR37" s="537"/>
      <c r="FS37" s="537"/>
      <c r="FT37" s="537"/>
      <c r="FU37" s="537"/>
      <c r="FV37" s="537"/>
      <c r="FW37" s="537"/>
      <c r="FX37" s="537"/>
      <c r="FY37" s="537"/>
      <c r="FZ37" s="537"/>
      <c r="GA37" s="537"/>
      <c r="GB37" s="537"/>
      <c r="GC37" s="537"/>
      <c r="GD37" s="537"/>
      <c r="GE37" s="537"/>
      <c r="GF37" s="537"/>
      <c r="GG37" s="537"/>
      <c r="GH37" s="537"/>
      <c r="GI37" s="537"/>
      <c r="GJ37" s="537"/>
      <c r="GK37" s="537"/>
      <c r="GL37" s="537"/>
      <c r="GM37" s="537"/>
      <c r="GN37" s="537"/>
      <c r="GO37" s="537"/>
      <c r="GP37" s="537"/>
      <c r="GQ37" s="537"/>
      <c r="GR37" s="537"/>
      <c r="GS37" s="537"/>
      <c r="GT37" s="537"/>
      <c r="GU37" s="537"/>
      <c r="GV37" s="537"/>
      <c r="GW37" s="537"/>
      <c r="GX37" s="537"/>
      <c r="GY37" s="537"/>
      <c r="GZ37" s="537"/>
      <c r="HA37" s="537"/>
      <c r="HB37" s="537"/>
      <c r="HC37" s="537"/>
      <c r="HD37" s="537"/>
      <c r="HE37" s="537"/>
      <c r="HF37" s="537"/>
      <c r="HG37" s="537"/>
      <c r="HH37" s="537"/>
      <c r="HI37" s="537"/>
      <c r="HJ37" s="537"/>
      <c r="HK37" s="537"/>
      <c r="HL37" s="537"/>
      <c r="HM37" s="537"/>
      <c r="HN37" s="537"/>
      <c r="HO37" s="537"/>
      <c r="HP37" s="537"/>
      <c r="HQ37" s="537"/>
      <c r="HR37" s="537"/>
      <c r="HS37" s="537"/>
      <c r="HT37" s="537"/>
      <c r="HU37" s="537"/>
      <c r="HV37" s="537"/>
      <c r="HW37" s="537"/>
      <c r="HX37" s="537"/>
      <c r="HY37" s="537"/>
      <c r="HZ37" s="537"/>
      <c r="IA37" s="537"/>
      <c r="IB37" s="537"/>
      <c r="IC37" s="537"/>
      <c r="ID37" s="537"/>
      <c r="IE37" s="537"/>
      <c r="IF37" s="537"/>
      <c r="IG37" s="537"/>
      <c r="IH37" s="537"/>
      <c r="II37" s="537"/>
      <c r="IJ37" s="537"/>
      <c r="IK37" s="537"/>
      <c r="IL37" s="537"/>
      <c r="IM37" s="537"/>
      <c r="IN37" s="537"/>
      <c r="IO37" s="537"/>
      <c r="IP37" s="537"/>
      <c r="IQ37" s="537"/>
      <c r="IR37" s="537"/>
      <c r="IS37" s="537"/>
      <c r="IT37" s="537"/>
      <c r="IU37" s="537"/>
      <c r="IV37" s="537"/>
      <c r="IW37" s="537"/>
    </row>
    <row r="38" customFormat="false" ht="12.75" hidden="false" customHeight="false" outlineLevel="0" collapsed="false">
      <c r="A38" s="540" t="s">
        <v>380</v>
      </c>
      <c r="B38" s="541" t="n">
        <f aca="false">Assumptions!$N$50</f>
        <v>30</v>
      </c>
      <c r="C38" s="559" t="n">
        <f aca="false">Assumptions!P50</f>
        <v>0.1</v>
      </c>
      <c r="D38" s="543" t="n">
        <f aca="false">1/Assumptions!$N$50*D9/12*(1-$C$38)</f>
        <v>0.02</v>
      </c>
      <c r="E38" s="543" t="n">
        <f aca="false">IF(E6=Assumptions!$N$50,1/Assumptions!$N$50*(1-$C$38)-Depreciation!$D$38,IF(E6&lt;Assumptions!$N$50,1/Assumptions!$N$47*(1-$C$38),0))</f>
        <v>0.045</v>
      </c>
      <c r="F38" s="543" t="n">
        <f aca="false">IF(F6=Assumptions!$N$50,1/Assumptions!$N$50*(1-$C$38)-Depreciation!$D$38,IF(F6&lt;Assumptions!$N$50,1/Assumptions!$N$47*(1-$C$38),0))</f>
        <v>0.045</v>
      </c>
      <c r="G38" s="543" t="n">
        <f aca="false">IF(G6=Assumptions!$N$50,1/Assumptions!$N$50*(1-$C$38)-Depreciation!$D$38,IF(G6&lt;Assumptions!$N$50,1/Assumptions!$N$47*(1-$C$38),0))</f>
        <v>0.045</v>
      </c>
      <c r="H38" s="543" t="n">
        <f aca="false">IF(H6=Assumptions!$N$50,1/Assumptions!$N$50*(1-$C$38)-Depreciation!$D$38,IF(H6&lt;Assumptions!$N$50,1/Assumptions!$N$47*(1-$C$38),0))</f>
        <v>0.045</v>
      </c>
      <c r="I38" s="543" t="n">
        <f aca="false">IF(I6=Assumptions!$N$50,1/Assumptions!$N$50*(1-$C$38)-Depreciation!$D$38,IF(I6&lt;Assumptions!$N$50,1/Assumptions!$N$47*(1-$C$38),0))</f>
        <v>0.045</v>
      </c>
      <c r="J38" s="543" t="n">
        <f aca="false">IF(J6=Assumptions!$N$50,1/Assumptions!$N$50*(1-$C$38)-Depreciation!$D$38,IF(J6&lt;Assumptions!$N$50,1/Assumptions!$N$47*(1-$C$38),0))</f>
        <v>0.045</v>
      </c>
      <c r="K38" s="543" t="n">
        <f aca="false">IF(K6=Assumptions!$N$50,1/Assumptions!$N$50*(1-$C$38)-Depreciation!$D$38,IF(K6&lt;Assumptions!$N$50,1/Assumptions!$N$47*(1-$C$38),0))</f>
        <v>0.045</v>
      </c>
      <c r="L38" s="543" t="n">
        <f aca="false">IF(L6=Assumptions!$N$50,1/Assumptions!$N$50*(1-$C$38)-Depreciation!$D$38,IF(L6&lt;Assumptions!$N$50,1/Assumptions!$N$47*(1-$C$38),0))</f>
        <v>0.045</v>
      </c>
      <c r="M38" s="543" t="n">
        <f aca="false">IF(M6=Assumptions!$N$50,1/Assumptions!$N$50*(1-$C$38)-Depreciation!$D$38,IF(M6&lt;Assumptions!$N$50,1/Assumptions!$N$47*(1-$C$38),0))</f>
        <v>0.045</v>
      </c>
      <c r="N38" s="543" t="n">
        <f aca="false">IF(N6=Assumptions!$N$50,1/Assumptions!$N$50*(1-$C$38)-Depreciation!$D$38,IF(N6&lt;Assumptions!$N$50,1/Assumptions!$N$47*(1-$C$38),0))</f>
        <v>0.045</v>
      </c>
      <c r="O38" s="543" t="n">
        <f aca="false">IF(O6=Assumptions!$N$50,1/Assumptions!$N$50*(1-$C$38)-Depreciation!$D$38,IF(O6&lt;Assumptions!$N$50,1/Assumptions!$N$47*(1-$C$38),0))</f>
        <v>0.045</v>
      </c>
      <c r="P38" s="543" t="n">
        <f aca="false">IF(P6=Assumptions!$N$50,1/Assumptions!$N$50*(1-$C$38)-Depreciation!$D$38,IF(P6&lt;Assumptions!$N$50,1/Assumptions!$N$47*(1-$C$38),0))</f>
        <v>0.045</v>
      </c>
      <c r="Q38" s="543" t="n">
        <f aca="false">IF(Q6=Assumptions!$N$50,1/Assumptions!$N$50*(1-$C$38)-Depreciation!$D$38,IF(Q6&lt;Assumptions!$N$50,1/Assumptions!$N$47*(1-$C$38),0))</f>
        <v>0.045</v>
      </c>
      <c r="R38" s="543" t="n">
        <f aca="false">IF(R6=Assumptions!$N$50,1/Assumptions!$N$50*(1-$C$38)-Depreciation!$D$38,IF(R6&lt;Assumptions!$N$50,1/Assumptions!$N$47*(1-$C$38),0))</f>
        <v>0.045</v>
      </c>
      <c r="S38" s="543" t="n">
        <f aca="false">IF(S6=Assumptions!$N$50,1/Assumptions!$N$50*(1-$C$38)-Depreciation!$D$38,IF(S6&lt;Assumptions!$N$50,1/Assumptions!$N$47*(1-$C$38),0))</f>
        <v>0.045</v>
      </c>
      <c r="T38" s="543" t="n">
        <f aca="false">IF(T6=Assumptions!$N$50,1/Assumptions!$N$50*(1-$C$38)-Depreciation!$D$38,IF(T6&lt;Assumptions!$N$50,1/Assumptions!$N$47*(1-$C$38),0))</f>
        <v>0.045</v>
      </c>
      <c r="U38" s="543" t="n">
        <f aca="false">IF(U6=Assumptions!$N$50,1/Assumptions!$N$50*(1-$C$38)-Depreciation!$D$38,IF(U6&lt;Assumptions!$N$50,1/Assumptions!$N$47*(1-$C$38),0))</f>
        <v>0.045</v>
      </c>
      <c r="V38" s="543" t="n">
        <f aca="false">IF(V6=Assumptions!$N$50,1/Assumptions!$N$50*(1-$C$38)-Depreciation!$D$38,IF(V6&lt;Assumptions!$N$50,1/Assumptions!$N$47*(1-$C$38),0))</f>
        <v>0.045</v>
      </c>
      <c r="W38" s="543" t="n">
        <f aca="false">IF(W6=Assumptions!$N$50,1/Assumptions!$N$50*(1-$C$38)-Depreciation!$D$38,IF(W6&lt;Assumptions!$N$50,1/Assumptions!$N$47*(1-$C$38),0))</f>
        <v>0.045</v>
      </c>
      <c r="X38" s="543" t="n">
        <f aca="false">IF(X6=Assumptions!$N$50,1/Assumptions!$N$50*(1-$C$38)-Depreciation!$D$38,IF(X6&lt;Assumptions!$N$50,1/Assumptions!$N$47*(1-$C$38),0))</f>
        <v>0.045</v>
      </c>
      <c r="Y38" s="543" t="n">
        <f aca="false">IF(Y6=Assumptions!$N$50,1/Assumptions!$N$50*(1-$C$38)-Depreciation!$D$38,IF(Y6&lt;Assumptions!$N$50,1/Assumptions!$N$47*(1-$C$38),0))</f>
        <v>0.045</v>
      </c>
      <c r="Z38" s="543" t="n">
        <f aca="false">IF(Z6=Assumptions!$N$50,1/Assumptions!$N$50*(1-$C$38)-Depreciation!$D$38,IF(Z6&lt;Assumptions!$N$50,1/Assumptions!$N$47*(1-$C$38),0))</f>
        <v>0.045</v>
      </c>
      <c r="AA38" s="543" t="n">
        <f aca="false">IF(AA6=Assumptions!$N$50,1/Assumptions!$N$50*(1-$C$38)-Depreciation!$D$38,IF(AA6&lt;Assumptions!$N$50,1/Assumptions!$N$47*(1-$C$38),0))</f>
        <v>0.045</v>
      </c>
      <c r="AB38" s="543" t="n">
        <f aca="false">IF(AB6=Assumptions!$N$50,1/Assumptions!$N$50*(1-$C$38)-Depreciation!$D$38,IF(AB6&lt;Assumptions!$N$50,1/Assumptions!$N$47*(1-$C$38),0))</f>
        <v>0.045</v>
      </c>
      <c r="AC38" s="543" t="n">
        <f aca="false">IF(AC6=Assumptions!$N$50,1/Assumptions!$N$50*(1-$C$38)-Depreciation!$D$38,IF(AC6&lt;Assumptions!$N$50,1/Assumptions!$N$47*(1-$C$38),0))</f>
        <v>0.045</v>
      </c>
      <c r="AD38" s="543" t="n">
        <f aca="false">IF(AD6=Assumptions!$N$50,1/Assumptions!$N$50*(1-$C$38)-Depreciation!$D$38,IF(AD6&lt;Assumptions!$N$50,1/Assumptions!$N$47*(1-$C$38),0))</f>
        <v>0.045</v>
      </c>
      <c r="AE38" s="543" t="n">
        <f aca="false">IF(AE6=Assumptions!$N$50,1/Assumptions!$N$50*(1-$C$38)-Depreciation!$D$38,IF(AE6&lt;Assumptions!$N$50,1/Assumptions!$N$47*(1-$C$38),0))</f>
        <v>0.045</v>
      </c>
      <c r="AF38" s="543" t="n">
        <f aca="false">IF(AF6=Assumptions!$N$50,1/Assumptions!$N$50*(1-$C$38)-Depreciation!$D$38,IF(AF6&lt;Assumptions!$N$50,1/Assumptions!$N$47*(1-$C$38),0))</f>
        <v>0.045</v>
      </c>
      <c r="AG38" s="543" t="n">
        <f aca="false">IF(AG6=Assumptions!$N$50,1/Assumptions!$N$50*(1-$C$38)-Depreciation!$D$38,IF(AG6&lt;Assumptions!$N$50,1/Assumptions!$N$47*(1-$C$38),0))</f>
        <v>0.045</v>
      </c>
      <c r="AH38" s="543" t="n">
        <f aca="false">IF(AH6=Assumptions!$N$50,1/Assumptions!$N$50*(1-$C$38)-Depreciation!$D$38,IF(AH6&lt;Assumptions!$N$50,1/Assumptions!$N$47*(1-$C$38),0))</f>
        <v>0</v>
      </c>
      <c r="AI38" s="537"/>
      <c r="AJ38" s="537"/>
      <c r="AK38" s="537"/>
      <c r="AL38" s="537"/>
      <c r="AM38" s="537"/>
      <c r="AN38" s="537"/>
      <c r="AO38" s="537"/>
      <c r="AP38" s="537"/>
      <c r="AQ38" s="537"/>
      <c r="AR38" s="537"/>
      <c r="AS38" s="537"/>
      <c r="AT38" s="537"/>
      <c r="AU38" s="537"/>
      <c r="AV38" s="537"/>
      <c r="AW38" s="537"/>
      <c r="AX38" s="537"/>
      <c r="AY38" s="537"/>
      <c r="AZ38" s="537"/>
      <c r="BA38" s="537"/>
      <c r="BB38" s="537"/>
      <c r="BC38" s="537"/>
      <c r="BD38" s="537"/>
      <c r="BE38" s="537"/>
      <c r="BF38" s="537"/>
      <c r="BG38" s="537"/>
      <c r="BH38" s="537"/>
      <c r="BI38" s="537"/>
      <c r="BJ38" s="537"/>
      <c r="BK38" s="537"/>
      <c r="BL38" s="537"/>
      <c r="BM38" s="537"/>
      <c r="BN38" s="537"/>
      <c r="BO38" s="537"/>
      <c r="BP38" s="537"/>
      <c r="BQ38" s="537"/>
      <c r="BR38" s="537"/>
      <c r="BS38" s="537"/>
      <c r="BT38" s="537"/>
      <c r="BU38" s="537"/>
      <c r="BV38" s="537"/>
      <c r="BW38" s="537"/>
      <c r="BX38" s="537"/>
      <c r="BY38" s="537"/>
      <c r="BZ38" s="537"/>
      <c r="CA38" s="537"/>
      <c r="CB38" s="537"/>
      <c r="CC38" s="537"/>
      <c r="CD38" s="537"/>
      <c r="CE38" s="537"/>
      <c r="CF38" s="537"/>
      <c r="CG38" s="537"/>
      <c r="CH38" s="537"/>
      <c r="CI38" s="537"/>
      <c r="CJ38" s="537"/>
      <c r="CK38" s="537"/>
      <c r="CL38" s="537"/>
      <c r="CM38" s="537"/>
      <c r="CN38" s="537"/>
      <c r="CO38" s="537"/>
      <c r="CP38" s="537"/>
      <c r="CQ38" s="537"/>
      <c r="CR38" s="537"/>
      <c r="CS38" s="537"/>
      <c r="CT38" s="537"/>
      <c r="CU38" s="537"/>
      <c r="CV38" s="537"/>
      <c r="CW38" s="537"/>
      <c r="CX38" s="537"/>
      <c r="CY38" s="537"/>
      <c r="CZ38" s="537"/>
      <c r="DA38" s="537"/>
      <c r="DB38" s="537"/>
      <c r="DC38" s="537"/>
      <c r="DD38" s="537"/>
      <c r="DE38" s="537"/>
      <c r="DF38" s="537"/>
      <c r="DG38" s="537"/>
      <c r="DH38" s="537"/>
      <c r="DI38" s="537"/>
      <c r="DJ38" s="537"/>
      <c r="DK38" s="537"/>
      <c r="DL38" s="537"/>
      <c r="DM38" s="537"/>
      <c r="DN38" s="537"/>
      <c r="DO38" s="537"/>
      <c r="DP38" s="537"/>
      <c r="DQ38" s="537"/>
      <c r="DR38" s="537"/>
      <c r="DS38" s="537"/>
      <c r="DT38" s="537"/>
      <c r="DU38" s="537"/>
      <c r="DV38" s="537"/>
      <c r="DW38" s="537"/>
      <c r="DX38" s="537"/>
      <c r="DY38" s="537"/>
      <c r="DZ38" s="537"/>
      <c r="EA38" s="537"/>
      <c r="EB38" s="537"/>
      <c r="EC38" s="537"/>
      <c r="ED38" s="537"/>
      <c r="EE38" s="537"/>
      <c r="EF38" s="537"/>
      <c r="EG38" s="537"/>
      <c r="EH38" s="537"/>
      <c r="EI38" s="537"/>
      <c r="EJ38" s="537"/>
      <c r="EK38" s="537"/>
      <c r="EL38" s="537"/>
      <c r="EM38" s="537"/>
      <c r="EN38" s="537"/>
      <c r="EO38" s="537"/>
      <c r="EP38" s="537"/>
      <c r="EQ38" s="537"/>
      <c r="ER38" s="537"/>
      <c r="ES38" s="537"/>
      <c r="ET38" s="537"/>
      <c r="EU38" s="537"/>
      <c r="EV38" s="537"/>
      <c r="EW38" s="537"/>
      <c r="EX38" s="537"/>
      <c r="EY38" s="537"/>
      <c r="EZ38" s="537"/>
      <c r="FA38" s="537"/>
      <c r="FB38" s="537"/>
      <c r="FC38" s="537"/>
      <c r="FD38" s="537"/>
      <c r="FE38" s="537"/>
      <c r="FF38" s="537"/>
      <c r="FG38" s="537"/>
      <c r="FH38" s="537"/>
      <c r="FI38" s="537"/>
      <c r="FJ38" s="537"/>
      <c r="FK38" s="537"/>
      <c r="FL38" s="537"/>
      <c r="FM38" s="537"/>
      <c r="FN38" s="537"/>
      <c r="FO38" s="537"/>
      <c r="FP38" s="537"/>
      <c r="FQ38" s="537"/>
      <c r="FR38" s="537"/>
      <c r="FS38" s="537"/>
      <c r="FT38" s="537"/>
      <c r="FU38" s="537"/>
      <c r="FV38" s="537"/>
      <c r="FW38" s="537"/>
      <c r="FX38" s="537"/>
      <c r="FY38" s="537"/>
      <c r="FZ38" s="537"/>
      <c r="GA38" s="537"/>
      <c r="GB38" s="537"/>
      <c r="GC38" s="537"/>
      <c r="GD38" s="537"/>
      <c r="GE38" s="537"/>
      <c r="GF38" s="537"/>
      <c r="GG38" s="537"/>
      <c r="GH38" s="537"/>
      <c r="GI38" s="537"/>
      <c r="GJ38" s="537"/>
      <c r="GK38" s="537"/>
      <c r="GL38" s="537"/>
      <c r="GM38" s="537"/>
      <c r="GN38" s="537"/>
      <c r="GO38" s="537"/>
      <c r="GP38" s="537"/>
      <c r="GQ38" s="537"/>
      <c r="GR38" s="537"/>
      <c r="GS38" s="537"/>
      <c r="GT38" s="537"/>
      <c r="GU38" s="537"/>
      <c r="GV38" s="537"/>
      <c r="GW38" s="537"/>
      <c r="GX38" s="537"/>
      <c r="GY38" s="537"/>
      <c r="GZ38" s="537"/>
      <c r="HA38" s="537"/>
      <c r="HB38" s="537"/>
      <c r="HC38" s="537"/>
      <c r="HD38" s="537"/>
      <c r="HE38" s="537"/>
      <c r="HF38" s="537"/>
      <c r="HG38" s="537"/>
      <c r="HH38" s="537"/>
      <c r="HI38" s="537"/>
      <c r="HJ38" s="537"/>
      <c r="HK38" s="537"/>
      <c r="HL38" s="537"/>
      <c r="HM38" s="537"/>
      <c r="HN38" s="537"/>
      <c r="HO38" s="537"/>
      <c r="HP38" s="537"/>
      <c r="HQ38" s="537"/>
      <c r="HR38" s="537"/>
      <c r="HS38" s="537"/>
      <c r="HT38" s="537"/>
      <c r="HU38" s="537"/>
      <c r="HV38" s="537"/>
      <c r="HW38" s="537"/>
      <c r="HX38" s="537"/>
      <c r="HY38" s="537"/>
      <c r="HZ38" s="537"/>
      <c r="IA38" s="537"/>
      <c r="IB38" s="537"/>
      <c r="IC38" s="537"/>
      <c r="ID38" s="537"/>
      <c r="IE38" s="537"/>
      <c r="IF38" s="537"/>
      <c r="IG38" s="537"/>
      <c r="IH38" s="537"/>
      <c r="II38" s="537"/>
      <c r="IJ38" s="537"/>
      <c r="IK38" s="537"/>
      <c r="IL38" s="537"/>
      <c r="IM38" s="537"/>
      <c r="IN38" s="537"/>
      <c r="IO38" s="537"/>
      <c r="IP38" s="537"/>
      <c r="IQ38" s="537"/>
      <c r="IR38" s="537"/>
      <c r="IS38" s="537"/>
      <c r="IT38" s="537"/>
      <c r="IU38" s="537"/>
      <c r="IV38" s="537"/>
      <c r="IW38" s="537"/>
    </row>
    <row r="39" customFormat="false" ht="12.75" hidden="false" customHeight="false" outlineLevel="0" collapsed="false">
      <c r="A39" s="544" t="s">
        <v>373</v>
      </c>
      <c r="B39" s="548" t="n">
        <f aca="false">Assumptions!$N$51</f>
        <v>20</v>
      </c>
      <c r="D39" s="543" t="n">
        <f aca="false">1/Assumptions!$N$51*D9/12</f>
        <v>0.0333333333333333</v>
      </c>
      <c r="E39" s="543" t="n">
        <f aca="false">IF(AND(E6&gt;=Assumptions!$N$51,D6&lt;Assumptions!$N$51),1/Assumptions!$N$51-Depreciation!$D$39,IF(E6&lt;Assumptions!$N$51,1/Assumptions!$N$51,0))</f>
        <v>0.05</v>
      </c>
      <c r="F39" s="543" t="n">
        <f aca="false">IF(AND(F6&gt;=Assumptions!$N$51,E6&lt;Assumptions!$N$51),1/Assumptions!$N$51-Depreciation!$D$39,IF(F6&lt;Assumptions!$N$51,1/Assumptions!$N$51,0))</f>
        <v>0.05</v>
      </c>
      <c r="G39" s="543" t="n">
        <f aca="false">IF(AND(G6&gt;=Assumptions!$N$51,F6&lt;Assumptions!$N$51),1/Assumptions!$N$51-Depreciation!$D$39,IF(G6&lt;Assumptions!$N$51,1/Assumptions!$N$51,0))</f>
        <v>0.05</v>
      </c>
      <c r="H39" s="543" t="n">
        <f aca="false">IF(AND(H6&gt;=Assumptions!$N$51,G6&lt;Assumptions!$N$51),1/Assumptions!$N$51-Depreciation!$D$39,IF(H6&lt;Assumptions!$N$51,1/Assumptions!$N$51,0))</f>
        <v>0.05</v>
      </c>
      <c r="I39" s="543" t="n">
        <f aca="false">IF(AND(I6&gt;=Assumptions!$N$51,H6&lt;Assumptions!$N$51),1/Assumptions!$N$51-Depreciation!$D$39,IF(I6&lt;Assumptions!$N$51,1/Assumptions!$N$51,0))</f>
        <v>0.05</v>
      </c>
      <c r="J39" s="543" t="n">
        <f aca="false">IF(AND(J6&gt;=Assumptions!$N$51,I6&lt;Assumptions!$N$51),1/Assumptions!$N$51-Depreciation!$D$39,IF(J6&lt;Assumptions!$N$51,1/Assumptions!$N$51,0))</f>
        <v>0.05</v>
      </c>
      <c r="K39" s="543" t="n">
        <f aca="false">IF(AND(K6&gt;=Assumptions!$N$51,J6&lt;Assumptions!$N$51),1/Assumptions!$N$51-Depreciation!$D$39,IF(K6&lt;Assumptions!$N$51,1/Assumptions!$N$51,0))</f>
        <v>0.05</v>
      </c>
      <c r="L39" s="543" t="n">
        <f aca="false">IF(AND(L6&gt;=Assumptions!$N$51,K6&lt;Assumptions!$N$51),1/Assumptions!$N$51-Depreciation!$D$39,IF(L6&lt;Assumptions!$N$51,1/Assumptions!$N$51,0))</f>
        <v>0.05</v>
      </c>
      <c r="M39" s="543" t="n">
        <f aca="false">IF(AND(M6&gt;=Assumptions!$N$51,L6&lt;Assumptions!$N$51),1/Assumptions!$N$51-Depreciation!$D$39,IF(M6&lt;Assumptions!$N$51,1/Assumptions!$N$51,0))</f>
        <v>0.05</v>
      </c>
      <c r="N39" s="543" t="n">
        <f aca="false">IF(AND(N6&gt;=Assumptions!$N$51,M6&lt;Assumptions!$N$51),1/Assumptions!$N$51-Depreciation!$D$39,IF(N6&lt;Assumptions!$N$51,1/Assumptions!$N$51,0))</f>
        <v>0.05</v>
      </c>
      <c r="O39" s="543" t="n">
        <f aca="false">IF(AND(O6&gt;=Assumptions!$N$51,N6&lt;Assumptions!$N$51),1/Assumptions!$N$51-Depreciation!$D$39,IF(O6&lt;Assumptions!$N$51,1/Assumptions!$N$51,0))</f>
        <v>0.05</v>
      </c>
      <c r="P39" s="543" t="n">
        <f aca="false">IF(AND(P6&gt;=Assumptions!$N$51,O6&lt;Assumptions!$N$51),1/Assumptions!$N$51-Depreciation!$D$39,IF(P6&lt;Assumptions!$N$51,1/Assumptions!$N$51,0))</f>
        <v>0.05</v>
      </c>
      <c r="Q39" s="543" t="n">
        <f aca="false">IF(AND(Q6&gt;=Assumptions!$N$51,P6&lt;Assumptions!$N$51),1/Assumptions!$N$51-Depreciation!$D$39,IF(Q6&lt;Assumptions!$N$51,1/Assumptions!$N$51,0))</f>
        <v>0.05</v>
      </c>
      <c r="R39" s="543" t="n">
        <f aca="false">IF(AND(R6&gt;=Assumptions!$N$51,Q6&lt;Assumptions!$N$51),1/Assumptions!$N$51-Depreciation!$D$39,IF(R6&lt;Assumptions!$N$51,1/Assumptions!$N$51,0))</f>
        <v>0.05</v>
      </c>
      <c r="S39" s="543" t="n">
        <f aca="false">IF(AND(S6&gt;=Assumptions!$N$51,R6&lt;Assumptions!$N$51),1/Assumptions!$N$51-Depreciation!$D$39,IF(S6&lt;Assumptions!$N$51,1/Assumptions!$N$51,0))</f>
        <v>0.05</v>
      </c>
      <c r="T39" s="543" t="n">
        <f aca="false">IF(AND(T6&gt;=Assumptions!$N$51,S6&lt;Assumptions!$N$51),1/Assumptions!$N$51-Depreciation!$D$39,IF(T6&lt;Assumptions!$N$51,1/Assumptions!$N$51,0))</f>
        <v>0.05</v>
      </c>
      <c r="U39" s="543" t="n">
        <f aca="false">IF(AND(U6&gt;=Assumptions!$N$51,T6&lt;Assumptions!$N$51),1/Assumptions!$N$51-Depreciation!$D$39,IF(U6&lt;Assumptions!$N$51,1/Assumptions!$N$51,0))</f>
        <v>0.05</v>
      </c>
      <c r="V39" s="543" t="n">
        <f aca="false">IF(AND(V6&gt;=Assumptions!$N$51,U6&lt;Assumptions!$N$51),1/Assumptions!$N$51-Depreciation!$D$39,IF(V6&lt;Assumptions!$N$51,1/Assumptions!$N$51,0))</f>
        <v>0.05</v>
      </c>
      <c r="W39" s="543" t="n">
        <f aca="false">IF(AND(W6&gt;=Assumptions!$N$51,V6&lt;Assumptions!$N$51),1/Assumptions!$N$51-Depreciation!$D$39,IF(W6&lt;Assumptions!$N$51,1/Assumptions!$N$51,0))</f>
        <v>0.05</v>
      </c>
      <c r="X39" s="543" t="n">
        <f aca="false">IF(AND(X6&gt;=Assumptions!$N$51,W6&lt;Assumptions!$N$51),1/Assumptions!$N$51-Depreciation!$D$39,IF(X6&lt;Assumptions!$N$51,1/Assumptions!$N$51,0))</f>
        <v>0.0166666666666667</v>
      </c>
      <c r="Y39" s="543" t="n">
        <f aca="false">IF(AND(Y6&gt;=Assumptions!$N$51,X6&lt;Assumptions!$N$51),1/Assumptions!$N$51-Depreciation!$D$39,IF(Y6&lt;Assumptions!$N$51,1/Assumptions!$N$51,0))</f>
        <v>0</v>
      </c>
      <c r="Z39" s="543" t="n">
        <f aca="false">IF(AND(Z6&gt;=Assumptions!$N$51,Y6&lt;Assumptions!$N$51),1/Assumptions!$N$51-Depreciation!$D$39,IF(Z6&lt;Assumptions!$N$51,1/Assumptions!$N$51,0))</f>
        <v>0</v>
      </c>
      <c r="AA39" s="543" t="n">
        <f aca="false">IF(AND(AA6&gt;=Assumptions!$N$51,Z6&lt;Assumptions!$N$51),1/Assumptions!$N$51-Depreciation!$D$39,IF(AA6&lt;Assumptions!$N$51,1/Assumptions!$N$51,0))</f>
        <v>0</v>
      </c>
      <c r="AB39" s="543" t="n">
        <f aca="false">IF(AND(AB6&gt;=Assumptions!$N$51,AA6&lt;Assumptions!$N$51),1/Assumptions!$N$51-Depreciation!$D$39,IF(AB6&lt;Assumptions!$N$51,1/Assumptions!$N$51,0))</f>
        <v>0</v>
      </c>
      <c r="AC39" s="543" t="n">
        <f aca="false">IF(AND(AC6&gt;=Assumptions!$N$51,AB6&lt;Assumptions!$N$51),1/Assumptions!$N$51-Depreciation!$D$39,IF(AC6&lt;Assumptions!$N$51,1/Assumptions!$N$51,0))</f>
        <v>0</v>
      </c>
      <c r="AD39" s="543" t="n">
        <f aca="false">IF(AND(AD6&gt;=Assumptions!$N$51,AC6&lt;Assumptions!$N$51),1/Assumptions!$N$51-Depreciation!$D$39,IF(AD6&lt;Assumptions!$N$51,1/Assumptions!$N$51,0))</f>
        <v>0</v>
      </c>
      <c r="AE39" s="543" t="n">
        <f aca="false">IF(AND(AE6&gt;=Assumptions!$N$51,AD6&lt;Assumptions!$N$51),1/Assumptions!$N$51-Depreciation!$D$39,IF(AE6&lt;Assumptions!$N$51,1/Assumptions!$N$51,0))</f>
        <v>0</v>
      </c>
      <c r="AF39" s="543" t="n">
        <f aca="false">IF(AND(AF6&gt;=Assumptions!$N$51,AE6&lt;Assumptions!$N$51),1/Assumptions!$N$51-Depreciation!$D$39,IF(AF6&lt;Assumptions!$N$51,1/Assumptions!$N$51,0))</f>
        <v>0</v>
      </c>
      <c r="AG39" s="543" t="n">
        <f aca="false">IF(AND(AG6&gt;=Assumptions!$N$51,AF6&lt;Assumptions!$N$51),1/Assumptions!$N$51-Depreciation!$D$39,IF(AG6&lt;Assumptions!$N$51,1/Assumptions!$N$51,0))</f>
        <v>0</v>
      </c>
      <c r="AH39" s="543" t="n">
        <f aca="false">IF(AND(AH6&gt;=Assumptions!$N$51,AG6&lt;Assumptions!$N$51),1/Assumptions!$N$51-Depreciation!$D$39,IF(AH6&lt;Assumptions!$N$51,1/Assumptions!$N$51,0))</f>
        <v>0</v>
      </c>
      <c r="AI39" s="537"/>
      <c r="AJ39" s="537"/>
      <c r="AK39" s="537"/>
      <c r="AL39" s="537"/>
      <c r="AM39" s="537"/>
      <c r="AN39" s="537"/>
      <c r="AO39" s="537"/>
      <c r="AP39" s="537"/>
      <c r="AQ39" s="537"/>
      <c r="AR39" s="537"/>
      <c r="AS39" s="537"/>
      <c r="AT39" s="537"/>
      <c r="AU39" s="537"/>
      <c r="AV39" s="537"/>
      <c r="AW39" s="537"/>
      <c r="AX39" s="537"/>
      <c r="AY39" s="537"/>
      <c r="AZ39" s="537"/>
      <c r="BA39" s="537"/>
      <c r="BB39" s="537"/>
      <c r="BC39" s="537"/>
      <c r="BD39" s="537"/>
      <c r="BE39" s="537"/>
      <c r="BF39" s="537"/>
      <c r="BG39" s="537"/>
      <c r="BH39" s="537"/>
      <c r="BI39" s="537"/>
      <c r="BJ39" s="537"/>
      <c r="BK39" s="537"/>
      <c r="BL39" s="537"/>
      <c r="BM39" s="537"/>
      <c r="BN39" s="537"/>
      <c r="BO39" s="537"/>
      <c r="BP39" s="537"/>
      <c r="BQ39" s="537"/>
      <c r="BR39" s="537"/>
      <c r="BS39" s="537"/>
      <c r="BT39" s="537"/>
      <c r="BU39" s="537"/>
      <c r="BV39" s="537"/>
      <c r="BW39" s="537"/>
      <c r="BX39" s="537"/>
      <c r="BY39" s="537"/>
      <c r="BZ39" s="537"/>
      <c r="CA39" s="537"/>
      <c r="CB39" s="537"/>
      <c r="CC39" s="537"/>
      <c r="CD39" s="537"/>
      <c r="CE39" s="537"/>
      <c r="CF39" s="537"/>
      <c r="CG39" s="537"/>
      <c r="CH39" s="537"/>
      <c r="CI39" s="537"/>
      <c r="CJ39" s="537"/>
      <c r="CK39" s="537"/>
      <c r="CL39" s="537"/>
      <c r="CM39" s="537"/>
      <c r="CN39" s="537"/>
      <c r="CO39" s="537"/>
      <c r="CP39" s="537"/>
      <c r="CQ39" s="537"/>
      <c r="CR39" s="537"/>
      <c r="CS39" s="537"/>
      <c r="CT39" s="537"/>
      <c r="CU39" s="537"/>
      <c r="CV39" s="537"/>
      <c r="CW39" s="537"/>
      <c r="CX39" s="537"/>
      <c r="CY39" s="537"/>
      <c r="CZ39" s="537"/>
      <c r="DA39" s="537"/>
      <c r="DB39" s="537"/>
      <c r="DC39" s="537"/>
      <c r="DD39" s="537"/>
      <c r="DE39" s="537"/>
      <c r="DF39" s="537"/>
      <c r="DG39" s="537"/>
      <c r="DH39" s="537"/>
      <c r="DI39" s="537"/>
      <c r="DJ39" s="537"/>
      <c r="DK39" s="537"/>
      <c r="DL39" s="537"/>
      <c r="DM39" s="537"/>
      <c r="DN39" s="537"/>
      <c r="DO39" s="537"/>
      <c r="DP39" s="537"/>
      <c r="DQ39" s="537"/>
      <c r="DR39" s="537"/>
      <c r="DS39" s="537"/>
      <c r="DT39" s="537"/>
      <c r="DU39" s="537"/>
      <c r="DV39" s="537"/>
      <c r="DW39" s="537"/>
      <c r="DX39" s="537"/>
      <c r="DY39" s="537"/>
      <c r="DZ39" s="537"/>
      <c r="EA39" s="537"/>
      <c r="EB39" s="537"/>
      <c r="EC39" s="537"/>
      <c r="ED39" s="537"/>
      <c r="EE39" s="537"/>
      <c r="EF39" s="537"/>
      <c r="EG39" s="537"/>
      <c r="EH39" s="537"/>
      <c r="EI39" s="537"/>
      <c r="EJ39" s="537"/>
      <c r="EK39" s="537"/>
      <c r="EL39" s="537"/>
      <c r="EM39" s="537"/>
      <c r="EN39" s="537"/>
      <c r="EO39" s="537"/>
      <c r="EP39" s="537"/>
      <c r="EQ39" s="537"/>
      <c r="ER39" s="537"/>
      <c r="ES39" s="537"/>
      <c r="ET39" s="537"/>
      <c r="EU39" s="537"/>
      <c r="EV39" s="537"/>
      <c r="EW39" s="537"/>
      <c r="EX39" s="537"/>
      <c r="EY39" s="537"/>
      <c r="EZ39" s="537"/>
      <c r="FA39" s="537"/>
      <c r="FB39" s="537"/>
      <c r="FC39" s="537"/>
      <c r="FD39" s="537"/>
      <c r="FE39" s="537"/>
      <c r="FF39" s="537"/>
      <c r="FG39" s="537"/>
      <c r="FH39" s="537"/>
      <c r="FI39" s="537"/>
      <c r="FJ39" s="537"/>
      <c r="FK39" s="537"/>
      <c r="FL39" s="537"/>
      <c r="FM39" s="537"/>
      <c r="FN39" s="537"/>
      <c r="FO39" s="537"/>
      <c r="FP39" s="537"/>
      <c r="FQ39" s="537"/>
      <c r="FR39" s="537"/>
      <c r="FS39" s="537"/>
      <c r="FT39" s="537"/>
      <c r="FU39" s="537"/>
      <c r="FV39" s="537"/>
      <c r="FW39" s="537"/>
      <c r="FX39" s="537"/>
      <c r="FY39" s="537"/>
      <c r="FZ39" s="537"/>
      <c r="GA39" s="537"/>
      <c r="GB39" s="537"/>
      <c r="GC39" s="537"/>
      <c r="GD39" s="537"/>
      <c r="GE39" s="537"/>
      <c r="GF39" s="537"/>
      <c r="GG39" s="537"/>
      <c r="GH39" s="537"/>
      <c r="GI39" s="537"/>
      <c r="GJ39" s="537"/>
      <c r="GK39" s="537"/>
      <c r="GL39" s="537"/>
      <c r="GM39" s="537"/>
      <c r="GN39" s="537"/>
      <c r="GO39" s="537"/>
      <c r="GP39" s="537"/>
      <c r="GQ39" s="537"/>
      <c r="GR39" s="537"/>
      <c r="GS39" s="537"/>
      <c r="GT39" s="537"/>
      <c r="GU39" s="537"/>
      <c r="GV39" s="537"/>
      <c r="GW39" s="537"/>
      <c r="GX39" s="537"/>
      <c r="GY39" s="537"/>
      <c r="GZ39" s="537"/>
      <c r="HA39" s="537"/>
      <c r="HB39" s="537"/>
      <c r="HC39" s="537"/>
      <c r="HD39" s="537"/>
      <c r="HE39" s="537"/>
      <c r="HF39" s="537"/>
      <c r="HG39" s="537"/>
      <c r="HH39" s="537"/>
      <c r="HI39" s="537"/>
      <c r="HJ39" s="537"/>
      <c r="HK39" s="537"/>
      <c r="HL39" s="537"/>
      <c r="HM39" s="537"/>
      <c r="HN39" s="537"/>
      <c r="HO39" s="537"/>
      <c r="HP39" s="537"/>
      <c r="HQ39" s="537"/>
      <c r="HR39" s="537"/>
      <c r="HS39" s="537"/>
      <c r="HT39" s="537"/>
      <c r="HU39" s="537"/>
      <c r="HV39" s="537"/>
      <c r="HW39" s="537"/>
      <c r="HX39" s="537"/>
      <c r="HY39" s="537"/>
      <c r="HZ39" s="537"/>
      <c r="IA39" s="537"/>
      <c r="IB39" s="537"/>
      <c r="IC39" s="537"/>
      <c r="ID39" s="537"/>
      <c r="IE39" s="537"/>
      <c r="IF39" s="537"/>
      <c r="IG39" s="537"/>
      <c r="IH39" s="537"/>
      <c r="II39" s="537"/>
      <c r="IJ39" s="537"/>
      <c r="IK39" s="537"/>
      <c r="IL39" s="537"/>
      <c r="IM39" s="537"/>
      <c r="IN39" s="537"/>
      <c r="IO39" s="537"/>
      <c r="IP39" s="537"/>
      <c r="IQ39" s="537"/>
      <c r="IR39" s="537"/>
      <c r="IS39" s="537"/>
      <c r="IT39" s="537"/>
      <c r="IU39" s="537"/>
      <c r="IV39" s="537"/>
      <c r="IW39" s="537"/>
    </row>
    <row r="40" customFormat="false" ht="12.75" hidden="false" customHeight="false" outlineLevel="0" collapsed="false">
      <c r="B40" s="538"/>
      <c r="D40" s="537"/>
      <c r="E40" s="537"/>
      <c r="F40" s="537"/>
      <c r="G40" s="537"/>
      <c r="H40" s="537"/>
      <c r="I40" s="537"/>
      <c r="J40" s="537"/>
      <c r="K40" s="537"/>
      <c r="L40" s="537"/>
      <c r="M40" s="537"/>
      <c r="N40" s="537"/>
      <c r="O40" s="537"/>
      <c r="P40" s="537"/>
      <c r="Q40" s="537"/>
      <c r="R40" s="537"/>
      <c r="S40" s="537"/>
      <c r="T40" s="537"/>
      <c r="U40" s="537"/>
      <c r="V40" s="537"/>
      <c r="W40" s="537"/>
      <c r="X40" s="537"/>
      <c r="Y40" s="537"/>
      <c r="Z40" s="537"/>
      <c r="AA40" s="537"/>
      <c r="AB40" s="537"/>
      <c r="AC40" s="537"/>
      <c r="AD40" s="537"/>
      <c r="AE40" s="537"/>
      <c r="AF40" s="537"/>
      <c r="AG40" s="537"/>
      <c r="AH40" s="537"/>
      <c r="AI40" s="537"/>
      <c r="AJ40" s="537"/>
      <c r="AK40" s="537"/>
      <c r="AL40" s="537"/>
      <c r="AM40" s="537"/>
      <c r="AN40" s="537"/>
      <c r="AO40" s="537"/>
      <c r="AP40" s="537"/>
      <c r="AQ40" s="537"/>
      <c r="AR40" s="537"/>
      <c r="AS40" s="537"/>
      <c r="AT40" s="537"/>
      <c r="AU40" s="537"/>
      <c r="AV40" s="537"/>
      <c r="AW40" s="537"/>
      <c r="AX40" s="537"/>
      <c r="AY40" s="537"/>
      <c r="AZ40" s="537"/>
      <c r="BA40" s="537"/>
      <c r="BB40" s="537"/>
      <c r="BC40" s="537"/>
      <c r="BD40" s="537"/>
      <c r="BE40" s="537"/>
      <c r="BF40" s="537"/>
      <c r="BG40" s="537"/>
      <c r="BH40" s="537"/>
      <c r="BI40" s="537"/>
      <c r="BJ40" s="537"/>
      <c r="BK40" s="537"/>
      <c r="BL40" s="537"/>
      <c r="BM40" s="537"/>
      <c r="BN40" s="537"/>
      <c r="BO40" s="537"/>
      <c r="BP40" s="537"/>
      <c r="BQ40" s="537"/>
      <c r="BR40" s="537"/>
      <c r="BS40" s="537"/>
      <c r="BT40" s="537"/>
      <c r="BU40" s="537"/>
      <c r="BV40" s="537"/>
      <c r="BW40" s="537"/>
      <c r="BX40" s="537"/>
      <c r="BY40" s="537"/>
      <c r="BZ40" s="537"/>
      <c r="CA40" s="537"/>
      <c r="CB40" s="537"/>
      <c r="CC40" s="537"/>
      <c r="CD40" s="537"/>
      <c r="CE40" s="537"/>
      <c r="CF40" s="537"/>
      <c r="CG40" s="537"/>
      <c r="CH40" s="537"/>
      <c r="CI40" s="537"/>
      <c r="CJ40" s="537"/>
      <c r="CK40" s="537"/>
      <c r="CL40" s="537"/>
      <c r="CM40" s="537"/>
      <c r="CN40" s="537"/>
      <c r="CO40" s="537"/>
      <c r="CP40" s="537"/>
      <c r="CQ40" s="537"/>
      <c r="CR40" s="537"/>
      <c r="CS40" s="537"/>
      <c r="CT40" s="537"/>
      <c r="CU40" s="537"/>
      <c r="CV40" s="537"/>
      <c r="CW40" s="537"/>
      <c r="CX40" s="537"/>
      <c r="CY40" s="537"/>
      <c r="CZ40" s="537"/>
      <c r="DA40" s="537"/>
      <c r="DB40" s="537"/>
      <c r="DC40" s="537"/>
      <c r="DD40" s="537"/>
      <c r="DE40" s="537"/>
      <c r="DF40" s="537"/>
      <c r="DG40" s="537"/>
      <c r="DH40" s="537"/>
      <c r="DI40" s="537"/>
      <c r="DJ40" s="537"/>
      <c r="DK40" s="537"/>
      <c r="DL40" s="537"/>
      <c r="DM40" s="537"/>
      <c r="DN40" s="537"/>
      <c r="DO40" s="537"/>
      <c r="DP40" s="537"/>
      <c r="DQ40" s="537"/>
      <c r="DR40" s="537"/>
      <c r="DS40" s="537"/>
      <c r="DT40" s="537"/>
      <c r="DU40" s="537"/>
      <c r="DV40" s="537"/>
      <c r="DW40" s="537"/>
      <c r="DX40" s="537"/>
      <c r="DY40" s="537"/>
      <c r="DZ40" s="537"/>
      <c r="EA40" s="537"/>
      <c r="EB40" s="537"/>
      <c r="EC40" s="537"/>
      <c r="ED40" s="537"/>
      <c r="EE40" s="537"/>
      <c r="EF40" s="537"/>
      <c r="EG40" s="537"/>
      <c r="EH40" s="537"/>
      <c r="EI40" s="537"/>
      <c r="EJ40" s="537"/>
      <c r="EK40" s="537"/>
      <c r="EL40" s="537"/>
      <c r="EM40" s="537"/>
      <c r="EN40" s="537"/>
      <c r="EO40" s="537"/>
      <c r="EP40" s="537"/>
      <c r="EQ40" s="537"/>
      <c r="ER40" s="537"/>
      <c r="ES40" s="537"/>
      <c r="ET40" s="537"/>
      <c r="EU40" s="537"/>
      <c r="EV40" s="537"/>
      <c r="EW40" s="537"/>
      <c r="EX40" s="537"/>
      <c r="EY40" s="537"/>
      <c r="EZ40" s="537"/>
      <c r="FA40" s="537"/>
      <c r="FB40" s="537"/>
      <c r="FC40" s="537"/>
      <c r="FD40" s="537"/>
      <c r="FE40" s="537"/>
      <c r="FF40" s="537"/>
      <c r="FG40" s="537"/>
      <c r="FH40" s="537"/>
      <c r="FI40" s="537"/>
      <c r="FJ40" s="537"/>
      <c r="FK40" s="537"/>
      <c r="FL40" s="537"/>
      <c r="FM40" s="537"/>
      <c r="FN40" s="537"/>
      <c r="FO40" s="537"/>
      <c r="FP40" s="537"/>
      <c r="FQ40" s="537"/>
      <c r="FR40" s="537"/>
      <c r="FS40" s="537"/>
      <c r="FT40" s="537"/>
      <c r="FU40" s="537"/>
      <c r="FV40" s="537"/>
      <c r="FW40" s="537"/>
      <c r="FX40" s="537"/>
      <c r="FY40" s="537"/>
      <c r="FZ40" s="537"/>
      <c r="GA40" s="537"/>
      <c r="GB40" s="537"/>
      <c r="GC40" s="537"/>
      <c r="GD40" s="537"/>
      <c r="GE40" s="537"/>
      <c r="GF40" s="537"/>
      <c r="GG40" s="537"/>
      <c r="GH40" s="537"/>
      <c r="GI40" s="537"/>
      <c r="GJ40" s="537"/>
      <c r="GK40" s="537"/>
      <c r="GL40" s="537"/>
      <c r="GM40" s="537"/>
      <c r="GN40" s="537"/>
      <c r="GO40" s="537"/>
      <c r="GP40" s="537"/>
      <c r="GQ40" s="537"/>
      <c r="GR40" s="537"/>
      <c r="GS40" s="537"/>
      <c r="GT40" s="537"/>
      <c r="GU40" s="537"/>
      <c r="GV40" s="537"/>
      <c r="GW40" s="537"/>
      <c r="GX40" s="537"/>
      <c r="GY40" s="537"/>
      <c r="GZ40" s="537"/>
      <c r="HA40" s="537"/>
      <c r="HB40" s="537"/>
      <c r="HC40" s="537"/>
      <c r="HD40" s="537"/>
      <c r="HE40" s="537"/>
      <c r="HF40" s="537"/>
      <c r="HG40" s="537"/>
      <c r="HH40" s="537"/>
      <c r="HI40" s="537"/>
      <c r="HJ40" s="537"/>
      <c r="HK40" s="537"/>
      <c r="HL40" s="537"/>
      <c r="HM40" s="537"/>
      <c r="HN40" s="537"/>
      <c r="HO40" s="537"/>
      <c r="HP40" s="537"/>
      <c r="HQ40" s="537"/>
      <c r="HR40" s="537"/>
      <c r="HS40" s="537"/>
      <c r="HT40" s="537"/>
      <c r="HU40" s="537"/>
      <c r="HV40" s="537"/>
      <c r="HW40" s="537"/>
      <c r="HX40" s="537"/>
      <c r="HY40" s="537"/>
      <c r="HZ40" s="537"/>
      <c r="IA40" s="537"/>
      <c r="IB40" s="537"/>
      <c r="IC40" s="537"/>
      <c r="ID40" s="537"/>
      <c r="IE40" s="537"/>
      <c r="IF40" s="537"/>
      <c r="IG40" s="537"/>
      <c r="IH40" s="537"/>
      <c r="II40" s="537"/>
      <c r="IJ40" s="537"/>
      <c r="IK40" s="537"/>
      <c r="IL40" s="537"/>
      <c r="IM40" s="537"/>
      <c r="IN40" s="537"/>
      <c r="IO40" s="537"/>
      <c r="IP40" s="537"/>
      <c r="IQ40" s="537"/>
      <c r="IR40" s="537"/>
      <c r="IS40" s="537"/>
      <c r="IT40" s="537"/>
      <c r="IU40" s="537"/>
      <c r="IV40" s="537"/>
      <c r="IW40" s="537"/>
    </row>
    <row r="41" customFormat="false" ht="12.75" hidden="false" customHeight="false" outlineLevel="0" collapsed="false">
      <c r="A41" s="540" t="s">
        <v>380</v>
      </c>
      <c r="B41" s="549" t="n">
        <f aca="false">B17</f>
        <v>109577</v>
      </c>
      <c r="C41" s="550"/>
      <c r="D41" s="549" t="n">
        <f aca="false">D38*$B$41</f>
        <v>2191.54</v>
      </c>
      <c r="E41" s="549" t="n">
        <f aca="false">E38*$B$41</f>
        <v>4930.965</v>
      </c>
      <c r="F41" s="549" t="n">
        <f aca="false">F38*$B$41</f>
        <v>4930.965</v>
      </c>
      <c r="G41" s="549" t="n">
        <f aca="false">G38*$B$41</f>
        <v>4930.965</v>
      </c>
      <c r="H41" s="549" t="n">
        <f aca="false">H38*$B$41</f>
        <v>4930.965</v>
      </c>
      <c r="I41" s="549" t="n">
        <f aca="false">I38*$B$41</f>
        <v>4930.965</v>
      </c>
      <c r="J41" s="549" t="n">
        <f aca="false">J38*$B$41</f>
        <v>4930.965</v>
      </c>
      <c r="K41" s="549" t="n">
        <f aca="false">K38*$B$41</f>
        <v>4930.965</v>
      </c>
      <c r="L41" s="549" t="n">
        <f aca="false">L38*$B$41</f>
        <v>4930.965</v>
      </c>
      <c r="M41" s="549" t="n">
        <f aca="false">M38*$B$41</f>
        <v>4930.965</v>
      </c>
      <c r="N41" s="549" t="n">
        <f aca="false">N38*$B$41</f>
        <v>4930.965</v>
      </c>
      <c r="O41" s="549" t="n">
        <f aca="false">O38*$B$41</f>
        <v>4930.965</v>
      </c>
      <c r="P41" s="549" t="n">
        <f aca="false">P38*$B$41</f>
        <v>4930.965</v>
      </c>
      <c r="Q41" s="549" t="n">
        <f aca="false">Q38*$B$41</f>
        <v>4930.965</v>
      </c>
      <c r="R41" s="549" t="n">
        <f aca="false">R38*$B$41</f>
        <v>4930.965</v>
      </c>
      <c r="S41" s="549" t="n">
        <f aca="false">S38*$B$41</f>
        <v>4930.965</v>
      </c>
      <c r="T41" s="549" t="n">
        <f aca="false">T38*$B$41</f>
        <v>4930.965</v>
      </c>
      <c r="U41" s="549" t="n">
        <f aca="false">U38*$B$41</f>
        <v>4930.965</v>
      </c>
      <c r="V41" s="549" t="n">
        <f aca="false">V38*$B$41</f>
        <v>4930.965</v>
      </c>
      <c r="W41" s="549" t="n">
        <f aca="false">W38*$B$41</f>
        <v>4930.965</v>
      </c>
      <c r="X41" s="549" t="n">
        <f aca="false">X38*$B$41</f>
        <v>4930.965</v>
      </c>
      <c r="Y41" s="549" t="n">
        <f aca="false">Y38*$B$41</f>
        <v>4930.965</v>
      </c>
      <c r="Z41" s="549" t="n">
        <f aca="false">Z38*$B$41</f>
        <v>4930.965</v>
      </c>
      <c r="AA41" s="549" t="n">
        <f aca="false">AA38*$B$41</f>
        <v>4930.965</v>
      </c>
      <c r="AB41" s="549" t="n">
        <f aca="false">AB38*$B$41</f>
        <v>4930.965</v>
      </c>
      <c r="AC41" s="549" t="n">
        <f aca="false">AC38*$B$41</f>
        <v>4930.965</v>
      </c>
      <c r="AD41" s="549" t="n">
        <f aca="false">AD38*$B$41</f>
        <v>4930.965</v>
      </c>
      <c r="AE41" s="549" t="n">
        <f aca="false">AE38*$B$41</f>
        <v>4930.965</v>
      </c>
      <c r="AF41" s="549" t="n">
        <f aca="false">AF38*$B$41</f>
        <v>4930.965</v>
      </c>
      <c r="AG41" s="549" t="n">
        <f aca="false">AG38*$B$41</f>
        <v>4930.965</v>
      </c>
      <c r="AH41" s="549" t="n">
        <f aca="false">AH38*$B$41</f>
        <v>0</v>
      </c>
      <c r="AI41" s="537"/>
      <c r="AJ41" s="537"/>
      <c r="AK41" s="537"/>
      <c r="AL41" s="537"/>
      <c r="AM41" s="537"/>
      <c r="AN41" s="537"/>
      <c r="AO41" s="537"/>
      <c r="AP41" s="537"/>
      <c r="AQ41" s="537"/>
      <c r="AR41" s="537"/>
      <c r="AS41" s="537"/>
      <c r="AT41" s="537"/>
      <c r="AU41" s="537"/>
      <c r="AV41" s="537"/>
      <c r="AW41" s="537"/>
      <c r="AX41" s="537"/>
      <c r="AY41" s="537"/>
      <c r="AZ41" s="537"/>
      <c r="BA41" s="537"/>
      <c r="BB41" s="537"/>
      <c r="BC41" s="537"/>
      <c r="BD41" s="537"/>
      <c r="BE41" s="537"/>
      <c r="BF41" s="537"/>
      <c r="BG41" s="537"/>
      <c r="BH41" s="537"/>
      <c r="BI41" s="537"/>
      <c r="BJ41" s="537"/>
      <c r="BK41" s="537"/>
      <c r="BL41" s="537"/>
      <c r="BM41" s="537"/>
      <c r="BN41" s="537"/>
      <c r="BO41" s="537"/>
      <c r="BP41" s="537"/>
      <c r="BQ41" s="537"/>
      <c r="BR41" s="537"/>
      <c r="BS41" s="537"/>
      <c r="BT41" s="537"/>
      <c r="BU41" s="537"/>
      <c r="BV41" s="537"/>
      <c r="BW41" s="537"/>
      <c r="BX41" s="537"/>
      <c r="BY41" s="537"/>
      <c r="BZ41" s="537"/>
      <c r="CA41" s="537"/>
      <c r="CB41" s="537"/>
      <c r="CC41" s="537"/>
      <c r="CD41" s="537"/>
      <c r="CE41" s="537"/>
      <c r="CF41" s="537"/>
      <c r="CG41" s="537"/>
      <c r="CH41" s="537"/>
      <c r="CI41" s="537"/>
      <c r="CJ41" s="537"/>
      <c r="CK41" s="537"/>
      <c r="CL41" s="537"/>
      <c r="CM41" s="537"/>
      <c r="CN41" s="537"/>
      <c r="CO41" s="537"/>
      <c r="CP41" s="537"/>
      <c r="CQ41" s="537"/>
      <c r="CR41" s="537"/>
      <c r="CS41" s="537"/>
      <c r="CT41" s="537"/>
      <c r="CU41" s="537"/>
      <c r="CV41" s="537"/>
      <c r="CW41" s="537"/>
      <c r="CX41" s="537"/>
      <c r="CY41" s="537"/>
      <c r="CZ41" s="537"/>
      <c r="DA41" s="537"/>
      <c r="DB41" s="537"/>
      <c r="DC41" s="537"/>
      <c r="DD41" s="537"/>
      <c r="DE41" s="537"/>
      <c r="DF41" s="537"/>
      <c r="DG41" s="537"/>
      <c r="DH41" s="537"/>
      <c r="DI41" s="537"/>
      <c r="DJ41" s="537"/>
      <c r="DK41" s="537"/>
      <c r="DL41" s="537"/>
      <c r="DM41" s="537"/>
      <c r="DN41" s="537"/>
      <c r="DO41" s="537"/>
      <c r="DP41" s="537"/>
      <c r="DQ41" s="537"/>
      <c r="DR41" s="537"/>
      <c r="DS41" s="537"/>
      <c r="DT41" s="537"/>
      <c r="DU41" s="537"/>
      <c r="DV41" s="537"/>
      <c r="DW41" s="537"/>
      <c r="DX41" s="537"/>
      <c r="DY41" s="537"/>
      <c r="DZ41" s="537"/>
      <c r="EA41" s="537"/>
      <c r="EB41" s="537"/>
      <c r="EC41" s="537"/>
      <c r="ED41" s="537"/>
      <c r="EE41" s="537"/>
      <c r="EF41" s="537"/>
      <c r="EG41" s="537"/>
      <c r="EH41" s="537"/>
      <c r="EI41" s="537"/>
      <c r="EJ41" s="537"/>
      <c r="EK41" s="537"/>
      <c r="EL41" s="537"/>
      <c r="EM41" s="537"/>
      <c r="EN41" s="537"/>
      <c r="EO41" s="537"/>
      <c r="EP41" s="537"/>
      <c r="EQ41" s="537"/>
      <c r="ER41" s="537"/>
      <c r="ES41" s="537"/>
      <c r="ET41" s="537"/>
      <c r="EU41" s="537"/>
      <c r="EV41" s="537"/>
      <c r="EW41" s="537"/>
      <c r="EX41" s="537"/>
      <c r="EY41" s="537"/>
      <c r="EZ41" s="537"/>
      <c r="FA41" s="537"/>
      <c r="FB41" s="537"/>
      <c r="FC41" s="537"/>
      <c r="FD41" s="537"/>
      <c r="FE41" s="537"/>
      <c r="FF41" s="537"/>
      <c r="FG41" s="537"/>
      <c r="FH41" s="537"/>
      <c r="FI41" s="537"/>
      <c r="FJ41" s="537"/>
      <c r="FK41" s="537"/>
      <c r="FL41" s="537"/>
      <c r="FM41" s="537"/>
      <c r="FN41" s="537"/>
      <c r="FO41" s="537"/>
      <c r="FP41" s="537"/>
      <c r="FQ41" s="537"/>
      <c r="FR41" s="537"/>
      <c r="FS41" s="537"/>
      <c r="FT41" s="537"/>
      <c r="FU41" s="537"/>
      <c r="FV41" s="537"/>
      <c r="FW41" s="537"/>
      <c r="FX41" s="537"/>
      <c r="FY41" s="537"/>
      <c r="FZ41" s="537"/>
      <c r="GA41" s="537"/>
      <c r="GB41" s="537"/>
      <c r="GC41" s="537"/>
      <c r="GD41" s="537"/>
      <c r="GE41" s="537"/>
      <c r="GF41" s="537"/>
      <c r="GG41" s="537"/>
      <c r="GH41" s="537"/>
      <c r="GI41" s="537"/>
      <c r="GJ41" s="537"/>
      <c r="GK41" s="537"/>
      <c r="GL41" s="537"/>
      <c r="GM41" s="537"/>
      <c r="GN41" s="537"/>
      <c r="GO41" s="537"/>
      <c r="GP41" s="537"/>
      <c r="GQ41" s="537"/>
      <c r="GR41" s="537"/>
      <c r="GS41" s="537"/>
      <c r="GT41" s="537"/>
      <c r="GU41" s="537"/>
      <c r="GV41" s="537"/>
      <c r="GW41" s="537"/>
      <c r="GX41" s="537"/>
      <c r="GY41" s="537"/>
      <c r="GZ41" s="537"/>
      <c r="HA41" s="537"/>
      <c r="HB41" s="537"/>
      <c r="HC41" s="537"/>
      <c r="HD41" s="537"/>
      <c r="HE41" s="537"/>
      <c r="HF41" s="537"/>
      <c r="HG41" s="537"/>
      <c r="HH41" s="537"/>
      <c r="HI41" s="537"/>
      <c r="HJ41" s="537"/>
      <c r="HK41" s="537"/>
      <c r="HL41" s="537"/>
      <c r="HM41" s="537"/>
      <c r="HN41" s="537"/>
      <c r="HO41" s="537"/>
      <c r="HP41" s="537"/>
      <c r="HQ41" s="537"/>
      <c r="HR41" s="537"/>
      <c r="HS41" s="537"/>
      <c r="HT41" s="537"/>
      <c r="HU41" s="537"/>
      <c r="HV41" s="537"/>
      <c r="HW41" s="537"/>
      <c r="HX41" s="537"/>
      <c r="HY41" s="537"/>
      <c r="HZ41" s="537"/>
      <c r="IA41" s="537"/>
      <c r="IB41" s="537"/>
      <c r="IC41" s="537"/>
      <c r="ID41" s="537"/>
      <c r="IE41" s="537"/>
      <c r="IF41" s="537"/>
      <c r="IG41" s="537"/>
      <c r="IH41" s="537"/>
      <c r="II41" s="537"/>
      <c r="IJ41" s="537"/>
      <c r="IK41" s="537"/>
      <c r="IL41" s="537"/>
      <c r="IM41" s="537"/>
      <c r="IN41" s="537"/>
      <c r="IO41" s="537"/>
      <c r="IP41" s="537"/>
      <c r="IQ41" s="537"/>
      <c r="IR41" s="537"/>
      <c r="IS41" s="537"/>
      <c r="IT41" s="537"/>
      <c r="IU41" s="537"/>
      <c r="IV41" s="537"/>
      <c r="IW41" s="537"/>
    </row>
    <row r="42" customFormat="false" ht="15" hidden="false" customHeight="false" outlineLevel="0" collapsed="false">
      <c r="A42" s="544" t="s">
        <v>373</v>
      </c>
      <c r="B42" s="551" t="n">
        <f aca="false">B18</f>
        <v>11044</v>
      </c>
      <c r="C42" s="550"/>
      <c r="D42" s="551" t="n">
        <f aca="false">D39*$B$42</f>
        <v>368.133333333333</v>
      </c>
      <c r="E42" s="551" t="n">
        <f aca="false">E39*$B$42</f>
        <v>552.2</v>
      </c>
      <c r="F42" s="551" t="n">
        <f aca="false">F39*$B$42</f>
        <v>552.2</v>
      </c>
      <c r="G42" s="551" t="n">
        <f aca="false">G39*$B$42</f>
        <v>552.2</v>
      </c>
      <c r="H42" s="551" t="n">
        <f aca="false">H39*$B$42</f>
        <v>552.2</v>
      </c>
      <c r="I42" s="551" t="n">
        <f aca="false">I39*$B$42</f>
        <v>552.2</v>
      </c>
      <c r="J42" s="551" t="n">
        <f aca="false">J39*$B$42</f>
        <v>552.2</v>
      </c>
      <c r="K42" s="551" t="n">
        <f aca="false">K39*$B$42</f>
        <v>552.2</v>
      </c>
      <c r="L42" s="551" t="n">
        <f aca="false">L39*$B$42</f>
        <v>552.2</v>
      </c>
      <c r="M42" s="551" t="n">
        <f aca="false">M39*$B$42</f>
        <v>552.2</v>
      </c>
      <c r="N42" s="551" t="n">
        <f aca="false">N39*$B$42</f>
        <v>552.2</v>
      </c>
      <c r="O42" s="551" t="n">
        <f aca="false">O39*$B$42</f>
        <v>552.2</v>
      </c>
      <c r="P42" s="551" t="n">
        <f aca="false">P39*$B$42</f>
        <v>552.2</v>
      </c>
      <c r="Q42" s="551" t="n">
        <f aca="false">Q39*$B$42</f>
        <v>552.2</v>
      </c>
      <c r="R42" s="551" t="n">
        <f aca="false">R39*$B$42</f>
        <v>552.2</v>
      </c>
      <c r="S42" s="551" t="n">
        <f aca="false">S39*$B$42</f>
        <v>552.2</v>
      </c>
      <c r="T42" s="551" t="n">
        <f aca="false">T39*$B$42</f>
        <v>552.2</v>
      </c>
      <c r="U42" s="551" t="n">
        <f aca="false">U39*$B$42</f>
        <v>552.2</v>
      </c>
      <c r="V42" s="551" t="n">
        <f aca="false">V39*$B$42</f>
        <v>552.2</v>
      </c>
      <c r="W42" s="551" t="n">
        <f aca="false">W39*$B$42</f>
        <v>552.2</v>
      </c>
      <c r="X42" s="551" t="n">
        <f aca="false">X39*$B$42</f>
        <v>184.066666666667</v>
      </c>
      <c r="Y42" s="551" t="n">
        <f aca="false">Y39*$B$42</f>
        <v>0</v>
      </c>
      <c r="Z42" s="551" t="n">
        <f aca="false">Z39*$B$42</f>
        <v>0</v>
      </c>
      <c r="AA42" s="551" t="n">
        <f aca="false">AA39*$B$42</f>
        <v>0</v>
      </c>
      <c r="AB42" s="551" t="n">
        <f aca="false">AB39*$B$42</f>
        <v>0</v>
      </c>
      <c r="AC42" s="551" t="n">
        <f aca="false">AC39*$B$42</f>
        <v>0</v>
      </c>
      <c r="AD42" s="551" t="n">
        <f aca="false">AD39*$B$42</f>
        <v>0</v>
      </c>
      <c r="AE42" s="551" t="n">
        <f aca="false">AE39*$B$42</f>
        <v>0</v>
      </c>
      <c r="AF42" s="551" t="n">
        <f aca="false">AF39*$B$42</f>
        <v>0</v>
      </c>
      <c r="AG42" s="551" t="n">
        <f aca="false">AG39*$B$42</f>
        <v>0</v>
      </c>
      <c r="AH42" s="551" t="n">
        <f aca="false">AH39*$B$42</f>
        <v>0</v>
      </c>
      <c r="AI42" s="537"/>
      <c r="AJ42" s="537"/>
      <c r="AK42" s="537"/>
      <c r="AL42" s="537"/>
      <c r="AM42" s="537"/>
      <c r="AN42" s="537"/>
      <c r="AO42" s="537"/>
      <c r="AP42" s="537"/>
      <c r="AQ42" s="537"/>
      <c r="AR42" s="537"/>
      <c r="AS42" s="537"/>
      <c r="AT42" s="537"/>
      <c r="AU42" s="537"/>
      <c r="AV42" s="537"/>
      <c r="AW42" s="537"/>
      <c r="AX42" s="537"/>
      <c r="AY42" s="537"/>
      <c r="AZ42" s="537"/>
      <c r="BA42" s="537"/>
      <c r="BB42" s="537"/>
      <c r="BC42" s="537"/>
      <c r="BD42" s="537"/>
      <c r="BE42" s="537"/>
      <c r="BF42" s="537"/>
      <c r="BG42" s="537"/>
      <c r="BH42" s="537"/>
      <c r="BI42" s="537"/>
      <c r="BJ42" s="537"/>
      <c r="BK42" s="537"/>
      <c r="BL42" s="537"/>
      <c r="BM42" s="537"/>
      <c r="BN42" s="537"/>
      <c r="BO42" s="537"/>
      <c r="BP42" s="537"/>
      <c r="BQ42" s="537"/>
      <c r="BR42" s="537"/>
      <c r="BS42" s="537"/>
      <c r="BT42" s="537"/>
      <c r="BU42" s="537"/>
      <c r="BV42" s="537"/>
      <c r="BW42" s="537"/>
      <c r="BX42" s="537"/>
      <c r="BY42" s="537"/>
      <c r="BZ42" s="537"/>
      <c r="CA42" s="537"/>
      <c r="CB42" s="537"/>
      <c r="CC42" s="537"/>
      <c r="CD42" s="537"/>
      <c r="CE42" s="537"/>
      <c r="CF42" s="537"/>
      <c r="CG42" s="537"/>
      <c r="CH42" s="537"/>
      <c r="CI42" s="537"/>
      <c r="CJ42" s="537"/>
      <c r="CK42" s="537"/>
      <c r="CL42" s="537"/>
      <c r="CM42" s="537"/>
      <c r="CN42" s="537"/>
      <c r="CO42" s="537"/>
      <c r="CP42" s="537"/>
      <c r="CQ42" s="537"/>
      <c r="CR42" s="537"/>
      <c r="CS42" s="537"/>
      <c r="CT42" s="537"/>
      <c r="CU42" s="537"/>
      <c r="CV42" s="537"/>
      <c r="CW42" s="537"/>
      <c r="CX42" s="537"/>
      <c r="CY42" s="537"/>
      <c r="CZ42" s="537"/>
      <c r="DA42" s="537"/>
      <c r="DB42" s="537"/>
      <c r="DC42" s="537"/>
      <c r="DD42" s="537"/>
      <c r="DE42" s="537"/>
      <c r="DF42" s="537"/>
      <c r="DG42" s="537"/>
      <c r="DH42" s="537"/>
      <c r="DI42" s="537"/>
      <c r="DJ42" s="537"/>
      <c r="DK42" s="537"/>
      <c r="DL42" s="537"/>
      <c r="DM42" s="537"/>
      <c r="DN42" s="537"/>
      <c r="DO42" s="537"/>
      <c r="DP42" s="537"/>
      <c r="DQ42" s="537"/>
      <c r="DR42" s="537"/>
      <c r="DS42" s="537"/>
      <c r="DT42" s="537"/>
      <c r="DU42" s="537"/>
      <c r="DV42" s="537"/>
      <c r="DW42" s="537"/>
      <c r="DX42" s="537"/>
      <c r="DY42" s="537"/>
      <c r="DZ42" s="537"/>
      <c r="EA42" s="537"/>
      <c r="EB42" s="537"/>
      <c r="EC42" s="537"/>
      <c r="ED42" s="537"/>
      <c r="EE42" s="537"/>
      <c r="EF42" s="537"/>
      <c r="EG42" s="537"/>
      <c r="EH42" s="537"/>
      <c r="EI42" s="537"/>
      <c r="EJ42" s="537"/>
      <c r="EK42" s="537"/>
      <c r="EL42" s="537"/>
      <c r="EM42" s="537"/>
      <c r="EN42" s="537"/>
      <c r="EO42" s="537"/>
      <c r="EP42" s="537"/>
      <c r="EQ42" s="537"/>
      <c r="ER42" s="537"/>
      <c r="ES42" s="537"/>
      <c r="ET42" s="537"/>
      <c r="EU42" s="537"/>
      <c r="EV42" s="537"/>
      <c r="EW42" s="537"/>
      <c r="EX42" s="537"/>
      <c r="EY42" s="537"/>
      <c r="EZ42" s="537"/>
      <c r="FA42" s="537"/>
      <c r="FB42" s="537"/>
      <c r="FC42" s="537"/>
      <c r="FD42" s="537"/>
      <c r="FE42" s="537"/>
      <c r="FF42" s="537"/>
      <c r="FG42" s="537"/>
      <c r="FH42" s="537"/>
      <c r="FI42" s="537"/>
      <c r="FJ42" s="537"/>
      <c r="FK42" s="537"/>
      <c r="FL42" s="537"/>
      <c r="FM42" s="537"/>
      <c r="FN42" s="537"/>
      <c r="FO42" s="537"/>
      <c r="FP42" s="537"/>
      <c r="FQ42" s="537"/>
      <c r="FR42" s="537"/>
      <c r="FS42" s="537"/>
      <c r="FT42" s="537"/>
      <c r="FU42" s="537"/>
      <c r="FV42" s="537"/>
      <c r="FW42" s="537"/>
      <c r="FX42" s="537"/>
      <c r="FY42" s="537"/>
      <c r="FZ42" s="537"/>
      <c r="GA42" s="537"/>
      <c r="GB42" s="537"/>
      <c r="GC42" s="537"/>
      <c r="GD42" s="537"/>
      <c r="GE42" s="537"/>
      <c r="GF42" s="537"/>
      <c r="GG42" s="537"/>
      <c r="GH42" s="537"/>
      <c r="GI42" s="537"/>
      <c r="GJ42" s="537"/>
      <c r="GK42" s="537"/>
      <c r="GL42" s="537"/>
      <c r="GM42" s="537"/>
      <c r="GN42" s="537"/>
      <c r="GO42" s="537"/>
      <c r="GP42" s="537"/>
      <c r="GQ42" s="537"/>
      <c r="GR42" s="537"/>
      <c r="GS42" s="537"/>
      <c r="GT42" s="537"/>
      <c r="GU42" s="537"/>
      <c r="GV42" s="537"/>
      <c r="GW42" s="537"/>
      <c r="GX42" s="537"/>
      <c r="GY42" s="537"/>
      <c r="GZ42" s="537"/>
      <c r="HA42" s="537"/>
      <c r="HB42" s="537"/>
      <c r="HC42" s="537"/>
      <c r="HD42" s="537"/>
      <c r="HE42" s="537"/>
      <c r="HF42" s="537"/>
      <c r="HG42" s="537"/>
      <c r="HH42" s="537"/>
      <c r="HI42" s="537"/>
      <c r="HJ42" s="537"/>
      <c r="HK42" s="537"/>
      <c r="HL42" s="537"/>
      <c r="HM42" s="537"/>
      <c r="HN42" s="537"/>
      <c r="HO42" s="537"/>
      <c r="HP42" s="537"/>
      <c r="HQ42" s="537"/>
      <c r="HR42" s="537"/>
      <c r="HS42" s="537"/>
      <c r="HT42" s="537"/>
      <c r="HU42" s="537"/>
      <c r="HV42" s="537"/>
      <c r="HW42" s="537"/>
      <c r="HX42" s="537"/>
      <c r="HY42" s="537"/>
      <c r="HZ42" s="537"/>
      <c r="IA42" s="537"/>
      <c r="IB42" s="537"/>
      <c r="IC42" s="537"/>
      <c r="ID42" s="537"/>
      <c r="IE42" s="537"/>
      <c r="IF42" s="537"/>
      <c r="IG42" s="537"/>
      <c r="IH42" s="537"/>
      <c r="II42" s="537"/>
      <c r="IJ42" s="537"/>
      <c r="IK42" s="537"/>
      <c r="IL42" s="537"/>
      <c r="IM42" s="537"/>
      <c r="IN42" s="537"/>
      <c r="IO42" s="537"/>
      <c r="IP42" s="537"/>
      <c r="IQ42" s="537"/>
      <c r="IR42" s="537"/>
      <c r="IS42" s="537"/>
      <c r="IT42" s="537"/>
      <c r="IU42" s="537"/>
      <c r="IV42" s="537"/>
      <c r="IW42" s="537"/>
    </row>
    <row r="43" customFormat="false" ht="12.75" hidden="false" customHeight="false" outlineLevel="0" collapsed="false">
      <c r="A43" s="553" t="s">
        <v>375</v>
      </c>
      <c r="B43" s="549" t="n">
        <f aca="false">SUM(B41:B42)</f>
        <v>120621</v>
      </c>
      <c r="C43" s="550"/>
      <c r="D43" s="549" t="n">
        <f aca="false">SUM(D41:D42)</f>
        <v>2559.67333333333</v>
      </c>
      <c r="E43" s="549" t="n">
        <f aca="false">SUM(E41:E42)</f>
        <v>5483.165</v>
      </c>
      <c r="F43" s="549" t="n">
        <f aca="false">SUM(F41:F42)</f>
        <v>5483.165</v>
      </c>
      <c r="G43" s="549" t="n">
        <f aca="false">SUM(G41:G42)</f>
        <v>5483.165</v>
      </c>
      <c r="H43" s="549" t="n">
        <f aca="false">SUM(H41:H42)</f>
        <v>5483.165</v>
      </c>
      <c r="I43" s="549" t="n">
        <f aca="false">SUM(I41:I42)</f>
        <v>5483.165</v>
      </c>
      <c r="J43" s="549" t="n">
        <f aca="false">SUM(J41:J42)</f>
        <v>5483.165</v>
      </c>
      <c r="K43" s="549" t="n">
        <f aca="false">SUM(K41:K42)</f>
        <v>5483.165</v>
      </c>
      <c r="L43" s="549" t="n">
        <f aca="false">SUM(L41:L42)</f>
        <v>5483.165</v>
      </c>
      <c r="M43" s="549" t="n">
        <f aca="false">SUM(M41:M42)</f>
        <v>5483.165</v>
      </c>
      <c r="N43" s="549" t="n">
        <f aca="false">SUM(N41:N42)</f>
        <v>5483.165</v>
      </c>
      <c r="O43" s="549" t="n">
        <f aca="false">SUM(O41:O42)</f>
        <v>5483.165</v>
      </c>
      <c r="P43" s="549" t="n">
        <f aca="false">SUM(P41:P42)</f>
        <v>5483.165</v>
      </c>
      <c r="Q43" s="549" t="n">
        <f aca="false">SUM(Q41:Q42)</f>
        <v>5483.165</v>
      </c>
      <c r="R43" s="549" t="n">
        <f aca="false">SUM(R41:R42)</f>
        <v>5483.165</v>
      </c>
      <c r="S43" s="549" t="n">
        <f aca="false">SUM(S41:S42)</f>
        <v>5483.165</v>
      </c>
      <c r="T43" s="549" t="n">
        <f aca="false">SUM(T41:T42)</f>
        <v>5483.165</v>
      </c>
      <c r="U43" s="549" t="n">
        <f aca="false">SUM(U41:U42)</f>
        <v>5483.165</v>
      </c>
      <c r="V43" s="549" t="n">
        <f aca="false">SUM(V41:V42)</f>
        <v>5483.165</v>
      </c>
      <c r="W43" s="549" t="n">
        <f aca="false">SUM(W41:W42)</f>
        <v>5483.165</v>
      </c>
      <c r="X43" s="549" t="n">
        <f aca="false">SUM(X41:X42)</f>
        <v>5115.03166666667</v>
      </c>
      <c r="Y43" s="549" t="n">
        <f aca="false">SUM(Y41:Y42)</f>
        <v>4930.965</v>
      </c>
      <c r="Z43" s="549" t="n">
        <f aca="false">SUM(Z41:Z42)</f>
        <v>4930.965</v>
      </c>
      <c r="AA43" s="549" t="n">
        <f aca="false">SUM(AA41:AA42)</f>
        <v>4930.965</v>
      </c>
      <c r="AB43" s="549" t="n">
        <f aca="false">SUM(AB41:AB42)</f>
        <v>4930.965</v>
      </c>
      <c r="AC43" s="549" t="n">
        <f aca="false">SUM(AC41:AC42)</f>
        <v>4930.965</v>
      </c>
      <c r="AD43" s="549" t="n">
        <f aca="false">SUM(AD41:AD42)</f>
        <v>4930.965</v>
      </c>
      <c r="AE43" s="549" t="n">
        <f aca="false">SUM(AE41:AE42)</f>
        <v>4930.965</v>
      </c>
      <c r="AF43" s="549" t="n">
        <f aca="false">SUM(AF41:AF42)</f>
        <v>4930.965</v>
      </c>
      <c r="AG43" s="549" t="n">
        <f aca="false">SUM(AG41:AG42)</f>
        <v>4930.965</v>
      </c>
      <c r="AH43" s="549" t="n">
        <f aca="false">SUM(AH41:AH42)</f>
        <v>0</v>
      </c>
      <c r="AI43" s="537"/>
      <c r="AJ43" s="537"/>
      <c r="AK43" s="537"/>
      <c r="AL43" s="537"/>
      <c r="AM43" s="537"/>
      <c r="AN43" s="537"/>
      <c r="AO43" s="537"/>
      <c r="AP43" s="537"/>
      <c r="AQ43" s="537"/>
      <c r="AR43" s="537"/>
      <c r="AS43" s="537"/>
      <c r="AT43" s="537"/>
      <c r="AU43" s="537"/>
      <c r="AV43" s="537"/>
      <c r="AW43" s="537"/>
      <c r="AX43" s="537"/>
      <c r="AY43" s="537"/>
      <c r="AZ43" s="537"/>
      <c r="BA43" s="537"/>
      <c r="BB43" s="537"/>
      <c r="BC43" s="537"/>
      <c r="BD43" s="537"/>
      <c r="BE43" s="537"/>
      <c r="BF43" s="537"/>
      <c r="BG43" s="537"/>
      <c r="BH43" s="537"/>
      <c r="BI43" s="537"/>
      <c r="BJ43" s="537"/>
      <c r="BK43" s="537"/>
      <c r="BL43" s="537"/>
      <c r="BM43" s="537"/>
      <c r="BN43" s="537"/>
      <c r="BO43" s="537"/>
      <c r="BP43" s="537"/>
      <c r="BQ43" s="537"/>
      <c r="BR43" s="537"/>
      <c r="BS43" s="537"/>
      <c r="BT43" s="537"/>
      <c r="BU43" s="537"/>
      <c r="BV43" s="537"/>
      <c r="BW43" s="537"/>
      <c r="BX43" s="537"/>
      <c r="BY43" s="537"/>
      <c r="BZ43" s="537"/>
      <c r="CA43" s="537"/>
      <c r="CB43" s="537"/>
      <c r="CC43" s="537"/>
      <c r="CD43" s="537"/>
      <c r="CE43" s="537"/>
      <c r="CF43" s="537"/>
      <c r="CG43" s="537"/>
      <c r="CH43" s="537"/>
      <c r="CI43" s="537"/>
      <c r="CJ43" s="537"/>
      <c r="CK43" s="537"/>
      <c r="CL43" s="537"/>
      <c r="CM43" s="537"/>
      <c r="CN43" s="537"/>
      <c r="CO43" s="537"/>
      <c r="CP43" s="537"/>
      <c r="CQ43" s="537"/>
      <c r="CR43" s="537"/>
      <c r="CS43" s="537"/>
      <c r="CT43" s="537"/>
      <c r="CU43" s="537"/>
      <c r="CV43" s="537"/>
      <c r="CW43" s="537"/>
      <c r="CX43" s="537"/>
      <c r="CY43" s="537"/>
      <c r="CZ43" s="537"/>
      <c r="DA43" s="537"/>
      <c r="DB43" s="537"/>
      <c r="DC43" s="537"/>
      <c r="DD43" s="537"/>
      <c r="DE43" s="537"/>
      <c r="DF43" s="537"/>
      <c r="DG43" s="537"/>
      <c r="DH43" s="537"/>
      <c r="DI43" s="537"/>
      <c r="DJ43" s="537"/>
      <c r="DK43" s="537"/>
      <c r="DL43" s="537"/>
      <c r="DM43" s="537"/>
      <c r="DN43" s="537"/>
      <c r="DO43" s="537"/>
      <c r="DP43" s="537"/>
      <c r="DQ43" s="537"/>
      <c r="DR43" s="537"/>
      <c r="DS43" s="537"/>
      <c r="DT43" s="537"/>
      <c r="DU43" s="537"/>
      <c r="DV43" s="537"/>
      <c r="DW43" s="537"/>
      <c r="DX43" s="537"/>
      <c r="DY43" s="537"/>
      <c r="DZ43" s="537"/>
      <c r="EA43" s="537"/>
      <c r="EB43" s="537"/>
      <c r="EC43" s="537"/>
      <c r="ED43" s="537"/>
      <c r="EE43" s="537"/>
      <c r="EF43" s="537"/>
      <c r="EG43" s="537"/>
      <c r="EH43" s="537"/>
      <c r="EI43" s="537"/>
      <c r="EJ43" s="537"/>
      <c r="EK43" s="537"/>
      <c r="EL43" s="537"/>
      <c r="EM43" s="537"/>
      <c r="EN43" s="537"/>
      <c r="EO43" s="537"/>
      <c r="EP43" s="537"/>
      <c r="EQ43" s="537"/>
      <c r="ER43" s="537"/>
      <c r="ES43" s="537"/>
      <c r="ET43" s="537"/>
      <c r="EU43" s="537"/>
      <c r="EV43" s="537"/>
      <c r="EW43" s="537"/>
      <c r="EX43" s="537"/>
      <c r="EY43" s="537"/>
      <c r="EZ43" s="537"/>
      <c r="FA43" s="537"/>
      <c r="FB43" s="537"/>
      <c r="FC43" s="537"/>
      <c r="FD43" s="537"/>
      <c r="FE43" s="537"/>
      <c r="FF43" s="537"/>
      <c r="FG43" s="537"/>
      <c r="FH43" s="537"/>
      <c r="FI43" s="537"/>
      <c r="FJ43" s="537"/>
      <c r="FK43" s="537"/>
      <c r="FL43" s="537"/>
      <c r="FM43" s="537"/>
      <c r="FN43" s="537"/>
      <c r="FO43" s="537"/>
      <c r="FP43" s="537"/>
      <c r="FQ43" s="537"/>
      <c r="FR43" s="537"/>
      <c r="FS43" s="537"/>
      <c r="FT43" s="537"/>
      <c r="FU43" s="537"/>
      <c r="FV43" s="537"/>
      <c r="FW43" s="537"/>
      <c r="FX43" s="537"/>
      <c r="FY43" s="537"/>
      <c r="FZ43" s="537"/>
      <c r="GA43" s="537"/>
      <c r="GB43" s="537"/>
      <c r="GC43" s="537"/>
      <c r="GD43" s="537"/>
      <c r="GE43" s="537"/>
      <c r="GF43" s="537"/>
      <c r="GG43" s="537"/>
      <c r="GH43" s="537"/>
      <c r="GI43" s="537"/>
      <c r="GJ43" s="537"/>
      <c r="GK43" s="537"/>
      <c r="GL43" s="537"/>
      <c r="GM43" s="537"/>
      <c r="GN43" s="537"/>
      <c r="GO43" s="537"/>
      <c r="GP43" s="537"/>
      <c r="GQ43" s="537"/>
      <c r="GR43" s="537"/>
      <c r="GS43" s="537"/>
      <c r="GT43" s="537"/>
      <c r="GU43" s="537"/>
      <c r="GV43" s="537"/>
      <c r="GW43" s="537"/>
      <c r="GX43" s="537"/>
      <c r="GY43" s="537"/>
      <c r="GZ43" s="537"/>
      <c r="HA43" s="537"/>
      <c r="HB43" s="537"/>
      <c r="HC43" s="537"/>
      <c r="HD43" s="537"/>
      <c r="HE43" s="537"/>
      <c r="HF43" s="537"/>
      <c r="HG43" s="537"/>
      <c r="HH43" s="537"/>
      <c r="HI43" s="537"/>
      <c r="HJ43" s="537"/>
      <c r="HK43" s="537"/>
      <c r="HL43" s="537"/>
      <c r="HM43" s="537"/>
      <c r="HN43" s="537"/>
      <c r="HO43" s="537"/>
      <c r="HP43" s="537"/>
      <c r="HQ43" s="537"/>
      <c r="HR43" s="537"/>
      <c r="HS43" s="537"/>
      <c r="HT43" s="537"/>
      <c r="HU43" s="537"/>
      <c r="HV43" s="537"/>
      <c r="HW43" s="537"/>
      <c r="HX43" s="537"/>
      <c r="HY43" s="537"/>
      <c r="HZ43" s="537"/>
      <c r="IA43" s="537"/>
      <c r="IB43" s="537"/>
      <c r="IC43" s="537"/>
      <c r="ID43" s="537"/>
      <c r="IE43" s="537"/>
      <c r="IF43" s="537"/>
      <c r="IG43" s="537"/>
      <c r="IH43" s="537"/>
      <c r="II43" s="537"/>
      <c r="IJ43" s="537"/>
      <c r="IK43" s="537"/>
      <c r="IL43" s="537"/>
      <c r="IM43" s="537"/>
      <c r="IN43" s="537"/>
      <c r="IO43" s="537"/>
      <c r="IP43" s="537"/>
      <c r="IQ43" s="537"/>
      <c r="IR43" s="537"/>
      <c r="IS43" s="537"/>
      <c r="IT43" s="537"/>
      <c r="IU43" s="537"/>
      <c r="IV43" s="537"/>
      <c r="IW43" s="537"/>
    </row>
    <row r="44" customFormat="false" ht="12.75" hidden="false" customHeight="false" outlineLevel="0" collapsed="false">
      <c r="A44" s="544"/>
    </row>
    <row r="45" customFormat="false" ht="12.75" hidden="false" customHeight="false" outlineLevel="0" collapsed="false">
      <c r="A45" s="553" t="s">
        <v>381</v>
      </c>
      <c r="B45" s="530" t="n">
        <f aca="false">B43</f>
        <v>120621</v>
      </c>
      <c r="D45" s="549" t="n">
        <f aca="false">B43-D43</f>
        <v>118061.326666667</v>
      </c>
      <c r="E45" s="549" t="n">
        <f aca="false">D45-E43</f>
        <v>112578.161666667</v>
      </c>
      <c r="F45" s="549" t="n">
        <f aca="false">E45-F43</f>
        <v>107094.996666667</v>
      </c>
      <c r="G45" s="549" t="n">
        <f aca="false">F45-G43</f>
        <v>101611.831666667</v>
      </c>
      <c r="H45" s="549" t="n">
        <f aca="false">G45-H43</f>
        <v>96128.6666666667</v>
      </c>
      <c r="I45" s="549" t="n">
        <f aca="false">H45-I43</f>
        <v>90645.5016666667</v>
      </c>
      <c r="J45" s="549" t="n">
        <f aca="false">I45-J43</f>
        <v>85162.3366666667</v>
      </c>
      <c r="K45" s="549" t="n">
        <f aca="false">J45-K43</f>
        <v>79679.1716666667</v>
      </c>
      <c r="L45" s="549" t="n">
        <f aca="false">K45-L43</f>
        <v>74196.0066666667</v>
      </c>
      <c r="M45" s="549" t="n">
        <f aca="false">L45-M43</f>
        <v>68712.8416666667</v>
      </c>
      <c r="N45" s="549" t="n">
        <f aca="false">M45-N43</f>
        <v>63229.6766666667</v>
      </c>
      <c r="O45" s="549" t="n">
        <f aca="false">N45-O43</f>
        <v>57746.5116666667</v>
      </c>
      <c r="P45" s="549" t="n">
        <f aca="false">O45-P43</f>
        <v>52263.3466666667</v>
      </c>
      <c r="Q45" s="549" t="n">
        <f aca="false">P45-Q43</f>
        <v>46780.1816666667</v>
      </c>
      <c r="R45" s="549" t="n">
        <f aca="false">Q45-R43</f>
        <v>41297.0166666667</v>
      </c>
      <c r="S45" s="549" t="n">
        <f aca="false">R45-S43</f>
        <v>35813.8516666667</v>
      </c>
      <c r="T45" s="549" t="n">
        <f aca="false">S45-T43</f>
        <v>30330.6866666667</v>
      </c>
      <c r="U45" s="549" t="n">
        <f aca="false">T45-U43</f>
        <v>24847.5216666667</v>
      </c>
      <c r="V45" s="549" t="n">
        <f aca="false">U45-V43</f>
        <v>19364.3566666667</v>
      </c>
      <c r="W45" s="549" t="n">
        <f aca="false">V45-W43</f>
        <v>13881.1916666667</v>
      </c>
      <c r="X45" s="549" t="n">
        <f aca="false">W45-X43</f>
        <v>8766.16000000004</v>
      </c>
      <c r="Y45" s="549" t="n">
        <f aca="false">X45-Y43</f>
        <v>3835.19500000004</v>
      </c>
      <c r="Z45" s="549" t="n">
        <f aca="false">Y45-Z43</f>
        <v>-1095.76999999996</v>
      </c>
      <c r="AA45" s="549" t="n">
        <f aca="false">Z45-AA43</f>
        <v>-6026.73499999996</v>
      </c>
      <c r="AB45" s="549" t="n">
        <f aca="false">AA45-AB43</f>
        <v>-10957.7</v>
      </c>
      <c r="AC45" s="549" t="n">
        <f aca="false">AB45-AC43</f>
        <v>-15888.665</v>
      </c>
      <c r="AD45" s="549" t="n">
        <f aca="false">AC45-AD43</f>
        <v>-20819.63</v>
      </c>
      <c r="AE45" s="549" t="n">
        <f aca="false">AD45-AE43</f>
        <v>-25750.595</v>
      </c>
      <c r="AF45" s="549" t="n">
        <f aca="false">AE45-AF43</f>
        <v>-30681.56</v>
      </c>
      <c r="AG45" s="549" t="n">
        <f aca="false">AF45-AG43</f>
        <v>-35612.525</v>
      </c>
      <c r="AH45" s="549" t="n">
        <f aca="false">AG45-AH43</f>
        <v>-35612.525</v>
      </c>
      <c r="AI45" s="527"/>
      <c r="AJ45" s="527"/>
      <c r="AK45" s="527"/>
      <c r="AL45" s="527"/>
      <c r="AM45" s="527"/>
      <c r="AN45" s="527"/>
      <c r="AO45" s="527"/>
      <c r="AP45" s="527"/>
      <c r="AQ45" s="527"/>
      <c r="AR45" s="527"/>
      <c r="AS45" s="527"/>
      <c r="AT45" s="527"/>
      <c r="AU45" s="527"/>
      <c r="AV45" s="527"/>
      <c r="AW45" s="527"/>
      <c r="AX45" s="527"/>
      <c r="AY45" s="527"/>
      <c r="AZ45" s="527"/>
      <c r="BA45" s="527"/>
      <c r="BB45" s="527"/>
      <c r="BC45" s="527"/>
      <c r="BD45" s="527"/>
      <c r="BE45" s="527"/>
      <c r="BF45" s="527"/>
      <c r="BG45" s="527"/>
      <c r="BH45" s="527"/>
      <c r="BI45" s="527"/>
      <c r="BJ45" s="527"/>
      <c r="BK45" s="527"/>
      <c r="BL45" s="527"/>
      <c r="BM45" s="527"/>
      <c r="BN45" s="527"/>
      <c r="BO45" s="527"/>
      <c r="BP45" s="527"/>
      <c r="BQ45" s="527"/>
      <c r="BR45" s="527"/>
      <c r="BS45" s="527"/>
      <c r="BT45" s="527"/>
      <c r="BU45" s="527"/>
      <c r="BV45" s="527"/>
      <c r="BW45" s="527"/>
      <c r="BX45" s="527"/>
      <c r="BY45" s="527"/>
      <c r="BZ45" s="527"/>
      <c r="CA45" s="527"/>
      <c r="CB45" s="527"/>
      <c r="CC45" s="527"/>
      <c r="CD45" s="527"/>
      <c r="CE45" s="527"/>
      <c r="CF45" s="527"/>
      <c r="CG45" s="527"/>
      <c r="CH45" s="527"/>
      <c r="CI45" s="527"/>
      <c r="CJ45" s="527"/>
      <c r="CK45" s="527"/>
      <c r="CL45" s="527"/>
      <c r="CM45" s="527"/>
      <c r="CN45" s="527"/>
      <c r="CO45" s="527"/>
      <c r="CP45" s="527"/>
      <c r="CQ45" s="527"/>
      <c r="CR45" s="527"/>
      <c r="CS45" s="527"/>
      <c r="CT45" s="527"/>
      <c r="CU45" s="527"/>
      <c r="CV45" s="527"/>
      <c r="CW45" s="527"/>
      <c r="CX45" s="527"/>
      <c r="CY45" s="527"/>
      <c r="CZ45" s="527"/>
      <c r="DA45" s="527"/>
      <c r="DB45" s="527"/>
      <c r="DC45" s="527"/>
      <c r="DD45" s="527"/>
      <c r="DE45" s="527"/>
      <c r="DF45" s="527"/>
      <c r="DG45" s="527"/>
      <c r="DH45" s="527"/>
      <c r="DI45" s="527"/>
      <c r="DJ45" s="527"/>
      <c r="DK45" s="527"/>
      <c r="DL45" s="527"/>
      <c r="DM45" s="527"/>
      <c r="DN45" s="527"/>
      <c r="DO45" s="527"/>
      <c r="DP45" s="527"/>
      <c r="DQ45" s="527"/>
      <c r="DR45" s="527"/>
      <c r="DS45" s="527"/>
      <c r="DT45" s="527"/>
      <c r="DU45" s="527"/>
      <c r="DV45" s="527"/>
      <c r="DW45" s="527"/>
      <c r="DX45" s="527"/>
      <c r="DY45" s="527"/>
      <c r="DZ45" s="527"/>
      <c r="EA45" s="527"/>
      <c r="EB45" s="527"/>
      <c r="EC45" s="527"/>
      <c r="ED45" s="527"/>
      <c r="EE45" s="527"/>
      <c r="EF45" s="527"/>
      <c r="EG45" s="527"/>
      <c r="EH45" s="527"/>
      <c r="EI45" s="527"/>
      <c r="EJ45" s="527"/>
      <c r="EK45" s="527"/>
      <c r="EL45" s="527"/>
      <c r="EM45" s="527"/>
      <c r="EN45" s="527"/>
      <c r="EO45" s="527"/>
      <c r="EP45" s="527"/>
      <c r="EQ45" s="527"/>
      <c r="ER45" s="527"/>
      <c r="ES45" s="527"/>
      <c r="ET45" s="527"/>
      <c r="EU45" s="527"/>
      <c r="EV45" s="527"/>
      <c r="EW45" s="527"/>
      <c r="EX45" s="527"/>
      <c r="EY45" s="527"/>
      <c r="EZ45" s="527"/>
      <c r="FA45" s="527"/>
      <c r="FB45" s="527"/>
      <c r="FC45" s="527"/>
      <c r="FD45" s="527"/>
      <c r="FE45" s="527"/>
      <c r="FF45" s="527"/>
      <c r="FG45" s="527"/>
      <c r="FH45" s="527"/>
      <c r="FI45" s="527"/>
      <c r="FJ45" s="527"/>
      <c r="FK45" s="527"/>
      <c r="FL45" s="527"/>
      <c r="FM45" s="527"/>
      <c r="FN45" s="527"/>
      <c r="FO45" s="527"/>
      <c r="FP45" s="527"/>
      <c r="FQ45" s="527"/>
      <c r="FR45" s="527"/>
      <c r="FS45" s="527"/>
      <c r="FT45" s="527"/>
      <c r="FU45" s="527"/>
      <c r="FV45" s="527"/>
      <c r="FW45" s="527"/>
      <c r="FX45" s="527"/>
      <c r="FY45" s="527"/>
      <c r="FZ45" s="527"/>
      <c r="GA45" s="527"/>
      <c r="GB45" s="527"/>
      <c r="GC45" s="527"/>
      <c r="GD45" s="527"/>
      <c r="GE45" s="527"/>
      <c r="GF45" s="527"/>
      <c r="GG45" s="527"/>
      <c r="GH45" s="527"/>
      <c r="GI45" s="527"/>
      <c r="GJ45" s="527"/>
      <c r="GK45" s="527"/>
      <c r="GL45" s="527"/>
      <c r="GM45" s="527"/>
      <c r="GN45" s="527"/>
      <c r="GO45" s="527"/>
      <c r="GP45" s="527"/>
      <c r="GQ45" s="527"/>
      <c r="GR45" s="527"/>
      <c r="GS45" s="527"/>
      <c r="GT45" s="527"/>
      <c r="GU45" s="527"/>
      <c r="GV45" s="527"/>
      <c r="GW45" s="527"/>
      <c r="GX45" s="527"/>
      <c r="GY45" s="527"/>
      <c r="GZ45" s="527"/>
      <c r="HA45" s="527"/>
      <c r="HB45" s="527"/>
      <c r="HC45" s="527"/>
      <c r="HD45" s="527"/>
      <c r="HE45" s="527"/>
      <c r="HF45" s="527"/>
      <c r="HG45" s="527"/>
      <c r="HH45" s="527"/>
      <c r="HI45" s="527"/>
      <c r="HJ45" s="527"/>
      <c r="HK45" s="527"/>
      <c r="HL45" s="527"/>
      <c r="HM45" s="527"/>
      <c r="HN45" s="527"/>
      <c r="HO45" s="527"/>
      <c r="HP45" s="527"/>
      <c r="HQ45" s="527"/>
      <c r="HR45" s="527"/>
      <c r="HS45" s="527"/>
      <c r="HT45" s="527"/>
      <c r="HU45" s="527"/>
      <c r="HV45" s="527"/>
      <c r="HW45" s="527"/>
      <c r="HX45" s="527"/>
      <c r="HY45" s="527"/>
      <c r="HZ45" s="527"/>
      <c r="IA45" s="527"/>
      <c r="IB45" s="527"/>
      <c r="IC45" s="527"/>
      <c r="ID45" s="527"/>
      <c r="IE45" s="527"/>
      <c r="IF45" s="527"/>
      <c r="IG45" s="527"/>
      <c r="IH45" s="527"/>
      <c r="II45" s="527"/>
      <c r="IJ45" s="527"/>
      <c r="IK45" s="527"/>
      <c r="IL45" s="527"/>
      <c r="IM45" s="527"/>
      <c r="IN45" s="527"/>
      <c r="IO45" s="527"/>
      <c r="IP45" s="527"/>
      <c r="IQ45" s="527"/>
      <c r="IR45" s="527"/>
      <c r="IS45" s="527"/>
      <c r="IT45" s="527"/>
      <c r="IU45" s="527"/>
      <c r="IV45" s="527"/>
      <c r="IW45" s="52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6" activeCellId="0" sqref="C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80" width="10.85"/>
    <col collapsed="false" customWidth="false" hidden="false" outlineLevel="0" max="257" min="33" style="80" width="9.14"/>
  </cols>
  <sheetData>
    <row r="2" customFormat="false" ht="18.75" hidden="false" customHeight="false" outlineLevel="0" collapsed="false">
      <c r="A2" s="6" t="str">
        <f aca="false">Assumptions!A3</f>
        <v>PROJECT NAME: LINCOLN</v>
      </c>
    </row>
    <row r="4" customFormat="false" ht="18.75" hidden="false" customHeight="false" outlineLevel="0" collapsed="false">
      <c r="A4" s="560" t="s">
        <v>382</v>
      </c>
      <c r="B4" s="561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  <c r="X4" s="547"/>
      <c r="Y4" s="547"/>
    </row>
    <row r="5" customFormat="false" ht="12.75" hidden="false" customHeight="false" outlineLevel="0" collapsed="false">
      <c r="A5" s="562"/>
      <c r="B5" s="563"/>
      <c r="C5" s="557"/>
      <c r="D5" s="557"/>
      <c r="E5" s="557"/>
      <c r="F5" s="557"/>
      <c r="G5" s="557"/>
      <c r="H5" s="557"/>
      <c r="I5" s="564"/>
      <c r="J5" s="557"/>
      <c r="K5" s="557"/>
      <c r="L5" s="557"/>
      <c r="M5" s="557"/>
      <c r="N5" s="557"/>
      <c r="O5" s="564"/>
      <c r="P5" s="557"/>
      <c r="Q5" s="557"/>
      <c r="R5" s="557"/>
      <c r="S5" s="557"/>
      <c r="T5" s="557"/>
      <c r="U5" s="564"/>
      <c r="V5" s="557"/>
      <c r="W5" s="557"/>
      <c r="X5" s="563"/>
      <c r="Y5" s="563"/>
    </row>
    <row r="6" customFormat="false" ht="12.75" hidden="false" customHeight="false" outlineLevel="0" collapsed="false">
      <c r="A6" s="292"/>
      <c r="B6" s="565" t="n">
        <f aca="false">'Power Price Assumption'!D9</f>
        <v>0.666666666666667</v>
      </c>
      <c r="C6" s="565" t="n">
        <f aca="false">'Power Price Assumption'!E9</f>
        <v>1.66666666666667</v>
      </c>
      <c r="D6" s="565" t="n">
        <f aca="false">'Power Price Assumption'!F9</f>
        <v>2.66666666666667</v>
      </c>
      <c r="E6" s="565" t="n">
        <f aca="false">'Power Price Assumption'!G9</f>
        <v>3.66666666666667</v>
      </c>
      <c r="F6" s="565" t="n">
        <f aca="false">'Power Price Assumption'!H9</f>
        <v>4.66666666666667</v>
      </c>
      <c r="G6" s="565" t="n">
        <f aca="false">'Power Price Assumption'!I9</f>
        <v>5.66666666666667</v>
      </c>
      <c r="H6" s="565" t="n">
        <f aca="false">'Power Price Assumption'!J9</f>
        <v>6.66666666666667</v>
      </c>
      <c r="I6" s="565" t="n">
        <f aca="false">'Power Price Assumption'!K9</f>
        <v>7.66666666666667</v>
      </c>
      <c r="J6" s="565" t="n">
        <f aca="false">'Power Price Assumption'!L9</f>
        <v>8.66666666666667</v>
      </c>
      <c r="K6" s="565" t="n">
        <f aca="false">'Power Price Assumption'!M9</f>
        <v>9.66666666666667</v>
      </c>
      <c r="L6" s="565" t="n">
        <f aca="false">'Power Price Assumption'!N9</f>
        <v>10.6666666666667</v>
      </c>
      <c r="M6" s="565" t="n">
        <f aca="false">'Power Price Assumption'!O9</f>
        <v>11.6666666666667</v>
      </c>
      <c r="N6" s="565" t="n">
        <f aca="false">'Power Price Assumption'!P9</f>
        <v>12.6666666666667</v>
      </c>
      <c r="O6" s="565" t="n">
        <f aca="false">'Power Price Assumption'!Q9</f>
        <v>13.6666666666667</v>
      </c>
      <c r="P6" s="565" t="n">
        <f aca="false">'Power Price Assumption'!R9</f>
        <v>14.6666666666667</v>
      </c>
      <c r="Q6" s="565" t="n">
        <f aca="false">'Power Price Assumption'!S9</f>
        <v>15.6666666666667</v>
      </c>
      <c r="R6" s="565" t="n">
        <f aca="false">'Power Price Assumption'!T9</f>
        <v>16.6666666666667</v>
      </c>
      <c r="S6" s="565" t="n">
        <f aca="false">'Power Price Assumption'!U9</f>
        <v>17.6666666666667</v>
      </c>
      <c r="T6" s="565" t="n">
        <f aca="false">'Power Price Assumption'!V9</f>
        <v>18.6666666666667</v>
      </c>
      <c r="U6" s="565" t="n">
        <f aca="false">'Power Price Assumption'!W9</f>
        <v>19.6666666666667</v>
      </c>
      <c r="V6" s="565" t="n">
        <f aca="false">'Power Price Assumption'!X9</f>
        <v>20.6666666666667</v>
      </c>
      <c r="W6" s="565" t="n">
        <f aca="false">'Power Price Assumption'!Y9</f>
        <v>21.6666666666667</v>
      </c>
      <c r="X6" s="565" t="n">
        <f aca="false">'Power Price Assumption'!Z9</f>
        <v>22.6666666666667</v>
      </c>
      <c r="Y6" s="565" t="n">
        <f aca="false">'Power Price Assumption'!AA9</f>
        <v>23.6666666666667</v>
      </c>
      <c r="Z6" s="565" t="n">
        <f aca="false">'Power Price Assumption'!AB9</f>
        <v>24.6666666666667</v>
      </c>
      <c r="AA6" s="565" t="n">
        <f aca="false">'Power Price Assumption'!AC9</f>
        <v>25.6666666666667</v>
      </c>
      <c r="AB6" s="565" t="n">
        <f aca="false">'Power Price Assumption'!AD9</f>
        <v>26.6666666666667</v>
      </c>
      <c r="AC6" s="565" t="n">
        <f aca="false">'Power Price Assumption'!AE9</f>
        <v>27.6666666666667</v>
      </c>
      <c r="AD6" s="565" t="n">
        <f aca="false">'Power Price Assumption'!AF9</f>
        <v>28.6666666666667</v>
      </c>
      <c r="AE6" s="565" t="n">
        <f aca="false">'Power Price Assumption'!AG9</f>
        <v>29.6666666666667</v>
      </c>
      <c r="AF6" s="565" t="n">
        <f aca="false">'Power Price Assumption'!AH9</f>
        <v>30.6666666666667</v>
      </c>
    </row>
    <row r="7" customFormat="false" ht="13.5" hidden="false" customHeight="false" outlineLevel="0" collapsed="false">
      <c r="A7" s="261" t="s">
        <v>206</v>
      </c>
      <c r="B7" s="262" t="n">
        <f aca="false">'Power Price Assumption'!D10</f>
        <v>2002</v>
      </c>
      <c r="C7" s="262" t="n">
        <f aca="false">'Power Price Assumption'!E10</f>
        <v>2003</v>
      </c>
      <c r="D7" s="262" t="n">
        <f aca="false">'Power Price Assumption'!F10</f>
        <v>2004</v>
      </c>
      <c r="E7" s="262" t="n">
        <f aca="false">'Power Price Assumption'!G10</f>
        <v>2005</v>
      </c>
      <c r="F7" s="262" t="n">
        <f aca="false">'Power Price Assumption'!H10</f>
        <v>2006</v>
      </c>
      <c r="G7" s="262" t="n">
        <f aca="false">'Power Price Assumption'!I10</f>
        <v>2007</v>
      </c>
      <c r="H7" s="262" t="n">
        <f aca="false">'Power Price Assumption'!J10</f>
        <v>2008</v>
      </c>
      <c r="I7" s="262" t="n">
        <f aca="false">'Power Price Assumption'!K10</f>
        <v>2009</v>
      </c>
      <c r="J7" s="262" t="n">
        <f aca="false">'Power Price Assumption'!L10</f>
        <v>2010</v>
      </c>
      <c r="K7" s="262" t="n">
        <f aca="false">'Power Price Assumption'!M10</f>
        <v>2011</v>
      </c>
      <c r="L7" s="262" t="n">
        <f aca="false">'Power Price Assumption'!N10</f>
        <v>2012</v>
      </c>
      <c r="M7" s="262" t="n">
        <f aca="false">'Power Price Assumption'!O10</f>
        <v>2013</v>
      </c>
      <c r="N7" s="262" t="n">
        <f aca="false">'Power Price Assumption'!P10</f>
        <v>2014</v>
      </c>
      <c r="O7" s="262" t="n">
        <f aca="false">'Power Price Assumption'!Q10</f>
        <v>2015</v>
      </c>
      <c r="P7" s="262" t="n">
        <f aca="false">'Power Price Assumption'!R10</f>
        <v>2016</v>
      </c>
      <c r="Q7" s="262" t="n">
        <f aca="false">'Power Price Assumption'!S10</f>
        <v>2017</v>
      </c>
      <c r="R7" s="262" t="n">
        <f aca="false">'Power Price Assumption'!T10</f>
        <v>2018</v>
      </c>
      <c r="S7" s="262" t="n">
        <f aca="false">'Power Price Assumption'!U10</f>
        <v>2019</v>
      </c>
      <c r="T7" s="262" t="n">
        <f aca="false">'Power Price Assumption'!V10</f>
        <v>2020</v>
      </c>
      <c r="U7" s="262" t="n">
        <f aca="false">'Power Price Assumption'!W10</f>
        <v>2021</v>
      </c>
      <c r="V7" s="262" t="n">
        <f aca="false">'Power Price Assumption'!X10</f>
        <v>2022</v>
      </c>
      <c r="W7" s="262" t="n">
        <f aca="false">'Power Price Assumption'!Y10</f>
        <v>2023</v>
      </c>
      <c r="X7" s="262" t="n">
        <f aca="false">'Power Price Assumption'!Z10</f>
        <v>2024</v>
      </c>
      <c r="Y7" s="262" t="n">
        <f aca="false">'Power Price Assumption'!AA10</f>
        <v>2025</v>
      </c>
      <c r="Z7" s="262" t="n">
        <f aca="false">'Power Price Assumption'!AB10</f>
        <v>2026</v>
      </c>
      <c r="AA7" s="262" t="n">
        <f aca="false">'Power Price Assumption'!AC10</f>
        <v>2027</v>
      </c>
      <c r="AB7" s="262" t="n">
        <f aca="false">'Power Price Assumption'!AD10</f>
        <v>2028</v>
      </c>
      <c r="AC7" s="262" t="n">
        <f aca="false">'Power Price Assumption'!AE10</f>
        <v>2029</v>
      </c>
      <c r="AD7" s="262" t="n">
        <f aca="false">'Power Price Assumption'!AF10</f>
        <v>2030</v>
      </c>
      <c r="AE7" s="262" t="n">
        <f aca="false">'Power Price Assumption'!AG10</f>
        <v>2031</v>
      </c>
      <c r="AF7" s="262" t="n">
        <f aca="false">'Power Price Assumption'!AH10</f>
        <v>2032</v>
      </c>
    </row>
    <row r="8" customFormat="false" ht="12.75" hidden="false" customHeight="false" outlineLevel="0" collapsed="false">
      <c r="A8" s="292"/>
      <c r="B8" s="529" t="n">
        <f aca="false">Depreciation!D8</f>
        <v>37620.5</v>
      </c>
      <c r="C8" s="529" t="n">
        <f aca="false">Depreciation!E8</f>
        <v>37985.75</v>
      </c>
      <c r="D8" s="529" t="n">
        <f aca="false">Depreciation!F8</f>
        <v>38351</v>
      </c>
      <c r="E8" s="529" t="n">
        <f aca="false">Depreciation!G8</f>
        <v>38716.25</v>
      </c>
      <c r="F8" s="529" t="n">
        <f aca="false">Depreciation!H8</f>
        <v>39081.5</v>
      </c>
      <c r="G8" s="529" t="n">
        <f aca="false">Depreciation!I8</f>
        <v>39446.75</v>
      </c>
      <c r="H8" s="529" t="n">
        <f aca="false">Depreciation!J8</f>
        <v>39812</v>
      </c>
      <c r="I8" s="529" t="n">
        <f aca="false">Depreciation!K8</f>
        <v>40177.25</v>
      </c>
      <c r="J8" s="529" t="n">
        <f aca="false">Depreciation!L8</f>
        <v>40542.5</v>
      </c>
      <c r="K8" s="529" t="n">
        <f aca="false">Depreciation!M8</f>
        <v>40907.75</v>
      </c>
      <c r="L8" s="529" t="n">
        <f aca="false">Depreciation!N8</f>
        <v>41273</v>
      </c>
      <c r="M8" s="529" t="n">
        <f aca="false">Depreciation!O8</f>
        <v>41638.25</v>
      </c>
      <c r="N8" s="529" t="n">
        <f aca="false">Depreciation!P8</f>
        <v>42003.5</v>
      </c>
      <c r="O8" s="529" t="n">
        <f aca="false">Depreciation!Q8</f>
        <v>42368.75</v>
      </c>
      <c r="P8" s="529" t="n">
        <f aca="false">Depreciation!R8</f>
        <v>42734</v>
      </c>
      <c r="Q8" s="529" t="n">
        <f aca="false">Depreciation!S8</f>
        <v>43099.25</v>
      </c>
      <c r="R8" s="529" t="n">
        <f aca="false">Depreciation!T8</f>
        <v>43464.5</v>
      </c>
      <c r="S8" s="529" t="n">
        <f aca="false">Depreciation!U8</f>
        <v>43829.75</v>
      </c>
      <c r="T8" s="529" t="n">
        <f aca="false">Depreciation!V8</f>
        <v>44195</v>
      </c>
      <c r="U8" s="529" t="n">
        <f aca="false">Depreciation!W8</f>
        <v>44560.25</v>
      </c>
      <c r="V8" s="529" t="n">
        <f aca="false">Depreciation!X8</f>
        <v>44925.5</v>
      </c>
      <c r="W8" s="529" t="n">
        <f aca="false">Depreciation!Y8</f>
        <v>45290.75</v>
      </c>
      <c r="X8" s="529" t="n">
        <f aca="false">Depreciation!Z8</f>
        <v>45656</v>
      </c>
      <c r="Y8" s="529" t="n">
        <f aca="false">Depreciation!AA8</f>
        <v>46021.25</v>
      </c>
      <c r="Z8" s="529" t="n">
        <f aca="false">Depreciation!AB8</f>
        <v>46386.5</v>
      </c>
      <c r="AA8" s="529" t="n">
        <f aca="false">Depreciation!AC8</f>
        <v>46751.75</v>
      </c>
      <c r="AB8" s="529" t="n">
        <f aca="false">Depreciation!AD8</f>
        <v>47117</v>
      </c>
      <c r="AC8" s="529" t="n">
        <f aca="false">Depreciation!AE8</f>
        <v>47482.25</v>
      </c>
      <c r="AD8" s="529" t="n">
        <f aca="false">Depreciation!AF8</f>
        <v>47847.5</v>
      </c>
      <c r="AE8" s="529" t="n">
        <f aca="false">Depreciation!AG8</f>
        <v>48212.75</v>
      </c>
      <c r="AF8" s="529" t="n">
        <f aca="false">Depreciation!AH8</f>
        <v>48578</v>
      </c>
    </row>
    <row r="9" customFormat="false" ht="12.75" hidden="false" customHeight="false" outlineLevel="0" collapsed="false">
      <c r="A9" s="566" t="s">
        <v>383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</row>
    <row r="10" customFormat="false" ht="12.75" hidden="false" customHeight="false" outlineLevel="0" collapsed="false">
      <c r="A10" s="566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</row>
    <row r="11" customFormat="false" ht="12.75" hidden="false" customHeight="false" outlineLevel="0" collapsed="false">
      <c r="A11" s="566"/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</row>
    <row r="12" customFormat="false" ht="13.5" hidden="false" customHeight="false" outlineLevel="0" collapsed="false">
      <c r="A12" s="567" t="s">
        <v>384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</row>
    <row r="13" customFormat="false" ht="12.75" hidden="false" customHeight="false" outlineLevel="0" collapsed="false">
      <c r="A13" s="540" t="s">
        <v>385</v>
      </c>
      <c r="B13" s="182" t="n">
        <f aca="false">IS!C51</f>
        <v>-131.246576719451</v>
      </c>
      <c r="C13" s="182" t="n">
        <f aca="false">IS!D51</f>
        <v>-3108.15508483362</v>
      </c>
      <c r="D13" s="182" t="n">
        <f aca="false">IS!E51</f>
        <v>-8551.16698479473</v>
      </c>
      <c r="E13" s="182" t="n">
        <f aca="false">IS!F51</f>
        <v>-1488.30732492734</v>
      </c>
      <c r="F13" s="182" t="n">
        <f aca="false">IS!G51</f>
        <v>-729.88544411372</v>
      </c>
      <c r="G13" s="182" t="n">
        <f aca="false">IS!H51</f>
        <v>-310.819038165703</v>
      </c>
      <c r="H13" s="182" t="n">
        <f aca="false">IS!I51</f>
        <v>104.697071850139</v>
      </c>
      <c r="I13" s="182" t="n">
        <f aca="false">IS!J51</f>
        <v>516.352065155495</v>
      </c>
      <c r="J13" s="182" t="n">
        <f aca="false">IS!K51</f>
        <v>1171.8831447013</v>
      </c>
      <c r="K13" s="182" t="n">
        <f aca="false">IS!L51</f>
        <v>1582.26288316044</v>
      </c>
      <c r="L13" s="182" t="n">
        <f aca="false">IS!M51</f>
        <v>2251.14750438214</v>
      </c>
      <c r="M13" s="182" t="n">
        <f aca="false">IS!N51</f>
        <v>2659.72111300116</v>
      </c>
      <c r="N13" s="182" t="n">
        <f aca="false">IS!O51</f>
        <v>3342.30569825383</v>
      </c>
      <c r="O13" s="182" t="n">
        <f aca="false">IS!P51</f>
        <v>3748.4823711425</v>
      </c>
      <c r="P13" s="182" t="n">
        <f aca="false">IS!Q51</f>
        <v>4148.90524603102</v>
      </c>
      <c r="Q13" s="182" t="n">
        <f aca="false">IS!R51</f>
        <v>4543.14289277674</v>
      </c>
      <c r="R13" s="182" t="n">
        <f aca="false">IS!S51</f>
        <v>4930.74317384665</v>
      </c>
      <c r="S13" s="182" t="n">
        <f aca="false">IS!T51</f>
        <v>5311.23239016112</v>
      </c>
      <c r="T13" s="182" t="n">
        <f aca="false">IS!U51</f>
        <v>5684.11439432481</v>
      </c>
      <c r="U13" s="182" t="n">
        <f aca="false">IS!V51</f>
        <v>6048.86967005695</v>
      </c>
      <c r="V13" s="182" t="n">
        <f aca="false">IS!W51</f>
        <v>6773.0877099242</v>
      </c>
      <c r="W13" s="182" t="n">
        <f aca="false">IS!X51</f>
        <v>7226.40026150174</v>
      </c>
      <c r="X13" s="182" t="n">
        <f aca="false">IS!Y51</f>
        <v>7260.22868694096</v>
      </c>
      <c r="Y13" s="182" t="n">
        <f aca="false">IS!Z51</f>
        <v>7291.35833350166</v>
      </c>
      <c r="Z13" s="182" t="n">
        <f aca="false">IS!AA51</f>
        <v>7319.70823781744</v>
      </c>
      <c r="AA13" s="182" t="n">
        <f aca="false">IS!AB51</f>
        <v>7345.19500762097</v>
      </c>
      <c r="AB13" s="182" t="n">
        <f aca="false">IS!AC51</f>
        <v>7367.73274887688</v>
      </c>
      <c r="AC13" s="182" t="n">
        <f aca="false">IS!AD51</f>
        <v>7387.23299072878</v>
      </c>
      <c r="AD13" s="182" t="n">
        <f aca="false">IS!AE51</f>
        <v>7403.60460819448</v>
      </c>
      <c r="AE13" s="182" t="n">
        <f aca="false">IS!AF51</f>
        <v>7416.75374254244</v>
      </c>
      <c r="AF13" s="182" t="n">
        <f aca="false">IS!AG51</f>
        <v>12357.5487192791</v>
      </c>
    </row>
    <row r="14" customFormat="false" ht="12.75" hidden="false" customHeight="false" outlineLevel="0" collapsed="false">
      <c r="A14" s="540" t="s">
        <v>386</v>
      </c>
      <c r="B14" s="182" t="n">
        <f aca="false">IS!C45</f>
        <v>2559.67333333333</v>
      </c>
      <c r="C14" s="182" t="n">
        <f aca="false">IS!D45</f>
        <v>5483.165</v>
      </c>
      <c r="D14" s="182" t="n">
        <f aca="false">IS!E45</f>
        <v>5483.165</v>
      </c>
      <c r="E14" s="182" t="n">
        <f aca="false">IS!F45</f>
        <v>5483.165</v>
      </c>
      <c r="F14" s="182" t="n">
        <f aca="false">IS!G45</f>
        <v>5483.165</v>
      </c>
      <c r="G14" s="182" t="n">
        <f aca="false">IS!H45</f>
        <v>5483.165</v>
      </c>
      <c r="H14" s="182" t="n">
        <f aca="false">IS!I45</f>
        <v>5483.165</v>
      </c>
      <c r="I14" s="182" t="n">
        <f aca="false">IS!J45</f>
        <v>5483.165</v>
      </c>
      <c r="J14" s="182" t="n">
        <f aca="false">IS!K45</f>
        <v>5483.165</v>
      </c>
      <c r="K14" s="182" t="n">
        <f aca="false">IS!L45</f>
        <v>5483.165</v>
      </c>
      <c r="L14" s="182" t="n">
        <f aca="false">IS!M45</f>
        <v>5483.165</v>
      </c>
      <c r="M14" s="182" t="n">
        <f aca="false">IS!N45</f>
        <v>5483.165</v>
      </c>
      <c r="N14" s="182" t="n">
        <f aca="false">IS!O45</f>
        <v>5483.165</v>
      </c>
      <c r="O14" s="182" t="n">
        <f aca="false">IS!P45</f>
        <v>5483.165</v>
      </c>
      <c r="P14" s="182" t="n">
        <f aca="false">IS!Q45</f>
        <v>5483.165</v>
      </c>
      <c r="Q14" s="182" t="n">
        <f aca="false">IS!R45</f>
        <v>5483.165</v>
      </c>
      <c r="R14" s="182" t="n">
        <f aca="false">IS!S45</f>
        <v>5483.165</v>
      </c>
      <c r="S14" s="182" t="n">
        <f aca="false">IS!T45</f>
        <v>5483.165</v>
      </c>
      <c r="T14" s="182" t="n">
        <f aca="false">IS!U45</f>
        <v>5483.165</v>
      </c>
      <c r="U14" s="182" t="n">
        <f aca="false">IS!V45</f>
        <v>5483.165</v>
      </c>
      <c r="V14" s="182" t="n">
        <f aca="false">IS!W45</f>
        <v>5115.03166666667</v>
      </c>
      <c r="W14" s="182" t="n">
        <f aca="false">IS!X45</f>
        <v>4930.965</v>
      </c>
      <c r="X14" s="182" t="n">
        <f aca="false">IS!Y45</f>
        <v>4930.965</v>
      </c>
      <c r="Y14" s="182" t="n">
        <f aca="false">IS!Z45</f>
        <v>4930.965</v>
      </c>
      <c r="Z14" s="182" t="n">
        <f aca="false">IS!AA45</f>
        <v>4930.965</v>
      </c>
      <c r="AA14" s="182" t="n">
        <f aca="false">IS!AB45</f>
        <v>4930.965</v>
      </c>
      <c r="AB14" s="182" t="n">
        <f aca="false">IS!AC45</f>
        <v>4930.965</v>
      </c>
      <c r="AC14" s="182" t="n">
        <f aca="false">IS!AD45</f>
        <v>4930.965</v>
      </c>
      <c r="AD14" s="182" t="n">
        <f aca="false">IS!AE45</f>
        <v>4930.965</v>
      </c>
      <c r="AE14" s="182" t="n">
        <f aca="false">IS!AF45</f>
        <v>4930.965</v>
      </c>
      <c r="AF14" s="182" t="n">
        <f aca="false">IS!AG45</f>
        <v>0</v>
      </c>
    </row>
    <row r="15" customFormat="false" ht="15" hidden="false" customHeight="false" outlineLevel="0" collapsed="false">
      <c r="A15" s="540" t="s">
        <v>387</v>
      </c>
      <c r="B15" s="568" t="n">
        <f aca="false">-Depreciation!D31</f>
        <v>-5846.98333333333</v>
      </c>
      <c r="C15" s="568" t="n">
        <f aca="false">-Depreciation!E31</f>
        <v>-10962.015</v>
      </c>
      <c r="D15" s="568" t="n">
        <f aca="false">-Depreciation!F31</f>
        <v>-9921.0335</v>
      </c>
      <c r="E15" s="568" t="n">
        <f aca="false">-Depreciation!G31</f>
        <v>-8989.629</v>
      </c>
      <c r="F15" s="568" t="n">
        <f aca="false">-Depreciation!H31</f>
        <v>-8145.8861</v>
      </c>
      <c r="G15" s="568" t="n">
        <f aca="false">-Depreciation!I31</f>
        <v>-7378.8471</v>
      </c>
      <c r="H15" s="568" t="n">
        <f aca="false">-Depreciation!J31</f>
        <v>-7017.243</v>
      </c>
      <c r="I15" s="568" t="n">
        <f aca="false">-Depreciation!K31</f>
        <v>-7028.2007</v>
      </c>
      <c r="J15" s="568" t="n">
        <f aca="false">-Depreciation!L31</f>
        <v>-7017.243</v>
      </c>
      <c r="K15" s="568" t="n">
        <f aca="false">-Depreciation!M31</f>
        <v>-7028.2007</v>
      </c>
      <c r="L15" s="568" t="n">
        <f aca="false">-Depreciation!N31</f>
        <v>-7017.243</v>
      </c>
      <c r="M15" s="568" t="n">
        <f aca="false">-Depreciation!O31</f>
        <v>-7028.2007</v>
      </c>
      <c r="N15" s="568" t="n">
        <f aca="false">-Depreciation!P31</f>
        <v>-7017.243</v>
      </c>
      <c r="O15" s="568" t="n">
        <f aca="false">-Depreciation!Q31</f>
        <v>-7028.2007</v>
      </c>
      <c r="P15" s="568" t="n">
        <f aca="false">-Depreciation!R31</f>
        <v>-7017.243</v>
      </c>
      <c r="Q15" s="568" t="n">
        <f aca="false">-Depreciation!S31</f>
        <v>-3784.7215</v>
      </c>
      <c r="R15" s="568" t="n">
        <f aca="false">-Depreciation!T31</f>
        <v>-552.2</v>
      </c>
      <c r="S15" s="568" t="n">
        <f aca="false">-Depreciation!U31</f>
        <v>-552.2</v>
      </c>
      <c r="T15" s="568" t="n">
        <f aca="false">-Depreciation!V31</f>
        <v>-552.2</v>
      </c>
      <c r="U15" s="568" t="n">
        <f aca="false">-Depreciation!W31</f>
        <v>-552.2</v>
      </c>
      <c r="V15" s="568" t="n">
        <f aca="false">-Depreciation!X31</f>
        <v>-184.066666666667</v>
      </c>
      <c r="W15" s="568" t="n">
        <f aca="false">-Depreciation!Y31</f>
        <v>-0</v>
      </c>
      <c r="X15" s="568" t="n">
        <f aca="false">-Depreciation!Z31</f>
        <v>-0</v>
      </c>
      <c r="Y15" s="568" t="n">
        <f aca="false">-Depreciation!AA31</f>
        <v>-0</v>
      </c>
      <c r="Z15" s="568" t="n">
        <f aca="false">-Depreciation!AB31</f>
        <v>-0</v>
      </c>
      <c r="AA15" s="568" t="n">
        <f aca="false">-Depreciation!AC31</f>
        <v>-0</v>
      </c>
      <c r="AB15" s="568" t="n">
        <f aca="false">-Depreciation!AD31</f>
        <v>-0</v>
      </c>
      <c r="AC15" s="568" t="n">
        <f aca="false">-Depreciation!AE31</f>
        <v>-0</v>
      </c>
      <c r="AD15" s="568" t="n">
        <f aca="false">-Depreciation!AF31</f>
        <v>-0</v>
      </c>
      <c r="AE15" s="568" t="n">
        <f aca="false">-Depreciation!AG31</f>
        <v>-0</v>
      </c>
      <c r="AF15" s="568" t="n">
        <f aca="false">-Depreciation!AH31</f>
        <v>-0</v>
      </c>
    </row>
    <row r="16" customFormat="false" ht="12.75" hidden="false" customHeight="false" outlineLevel="0" collapsed="false">
      <c r="A16" s="569" t="s">
        <v>388</v>
      </c>
      <c r="B16" s="182" t="n">
        <f aca="false">SUM(B13:B15)</f>
        <v>-3418.55657671945</v>
      </c>
      <c r="C16" s="182" t="n">
        <f aca="false">SUM(C13:C15)</f>
        <v>-8587.00508483363</v>
      </c>
      <c r="D16" s="182" t="n">
        <f aca="false">SUM(D13:D15)</f>
        <v>-12989.0354847947</v>
      </c>
      <c r="E16" s="182" t="n">
        <f aca="false">SUM(E13:E15)</f>
        <v>-4994.77132492734</v>
      </c>
      <c r="F16" s="182" t="n">
        <f aca="false">SUM(F13:F15)</f>
        <v>-3392.60654411372</v>
      </c>
      <c r="G16" s="182" t="n">
        <f aca="false">SUM(G13:G15)</f>
        <v>-2206.5011381657</v>
      </c>
      <c r="H16" s="182" t="n">
        <f aca="false">SUM(H13:H15)</f>
        <v>-1429.38092814986</v>
      </c>
      <c r="I16" s="182" t="n">
        <f aca="false">SUM(I13:I15)</f>
        <v>-1028.68363484451</v>
      </c>
      <c r="J16" s="182" t="n">
        <f aca="false">SUM(J13:J15)</f>
        <v>-362.194855298702</v>
      </c>
      <c r="K16" s="182" t="n">
        <f aca="false">SUM(K13:K15)</f>
        <v>37.2271831604412</v>
      </c>
      <c r="L16" s="182" t="n">
        <f aca="false">SUM(L13:L15)</f>
        <v>717.069504382139</v>
      </c>
      <c r="M16" s="182" t="n">
        <f aca="false">SUM(M13:M15)</f>
        <v>1114.68541300117</v>
      </c>
      <c r="N16" s="182" t="n">
        <f aca="false">SUM(N13:N15)</f>
        <v>1808.22769825383</v>
      </c>
      <c r="O16" s="182" t="n">
        <f aca="false">SUM(O13:O15)</f>
        <v>2203.4466711425</v>
      </c>
      <c r="P16" s="182" t="n">
        <f aca="false">SUM(P13:P15)</f>
        <v>2614.82724603102</v>
      </c>
      <c r="Q16" s="182" t="n">
        <f aca="false">SUM(Q13:Q15)</f>
        <v>6241.58639277674</v>
      </c>
      <c r="R16" s="182" t="n">
        <f aca="false">SUM(R13:R15)</f>
        <v>9861.70817384665</v>
      </c>
      <c r="S16" s="182" t="n">
        <f aca="false">SUM(S13:S15)</f>
        <v>10242.1973901611</v>
      </c>
      <c r="T16" s="182" t="n">
        <f aca="false">SUM(T13:T15)</f>
        <v>10615.0793943248</v>
      </c>
      <c r="U16" s="182" t="n">
        <f aca="false">SUM(U13:U15)</f>
        <v>10979.8346700569</v>
      </c>
      <c r="V16" s="182" t="n">
        <f aca="false">SUM(V13:V15)</f>
        <v>11704.0527099242</v>
      </c>
      <c r="W16" s="182" t="n">
        <f aca="false">SUM(W13:W15)</f>
        <v>12157.3652615017</v>
      </c>
      <c r="X16" s="182" t="n">
        <f aca="false">SUM(X13:X15)</f>
        <v>12191.193686941</v>
      </c>
      <c r="Y16" s="182" t="n">
        <f aca="false">SUM(Y13:Y15)</f>
        <v>12222.3233335017</v>
      </c>
      <c r="Z16" s="182" t="n">
        <f aca="false">SUM(Z13:Z15)</f>
        <v>12250.6732378174</v>
      </c>
      <c r="AA16" s="182" t="n">
        <f aca="false">SUM(AA13:AA15)</f>
        <v>12276.160007621</v>
      </c>
      <c r="AB16" s="182" t="n">
        <f aca="false">SUM(AB13:AB15)</f>
        <v>12298.6977488769</v>
      </c>
      <c r="AC16" s="182" t="n">
        <f aca="false">SUM(AC13:AC15)</f>
        <v>12318.1979907288</v>
      </c>
      <c r="AD16" s="182" t="n">
        <f aca="false">SUM(AD13:AD15)</f>
        <v>12334.5696081945</v>
      </c>
      <c r="AE16" s="182" t="n">
        <f aca="false">SUM(AE13:AE15)</f>
        <v>12347.7187425424</v>
      </c>
      <c r="AF16" s="182" t="n">
        <f aca="false">SUM(AF13:AF15)</f>
        <v>12357.5487192791</v>
      </c>
    </row>
    <row r="17" customFormat="false" ht="12.75" hidden="false" customHeight="false" outlineLevel="0" collapsed="false">
      <c r="A17" s="540"/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</row>
    <row r="18" customFormat="false" ht="12.75" hidden="false" customHeight="false" outlineLevel="0" collapsed="false">
      <c r="A18" s="540" t="s">
        <v>388</v>
      </c>
      <c r="B18" s="182" t="n">
        <f aca="false">B16</f>
        <v>-3418.55657671945</v>
      </c>
      <c r="C18" s="182" t="n">
        <f aca="false">C16</f>
        <v>-8587.00508483363</v>
      </c>
      <c r="D18" s="182" t="n">
        <f aca="false">D16</f>
        <v>-12989.0354847947</v>
      </c>
      <c r="E18" s="182" t="n">
        <f aca="false">E16</f>
        <v>-4994.77132492734</v>
      </c>
      <c r="F18" s="182" t="n">
        <f aca="false">F16</f>
        <v>-3392.60654411372</v>
      </c>
      <c r="G18" s="182" t="n">
        <f aca="false">G16</f>
        <v>-2206.5011381657</v>
      </c>
      <c r="H18" s="182" t="n">
        <f aca="false">H16</f>
        <v>-1429.38092814986</v>
      </c>
      <c r="I18" s="182" t="n">
        <f aca="false">I16</f>
        <v>-1028.68363484451</v>
      </c>
      <c r="J18" s="182" t="n">
        <f aca="false">J16</f>
        <v>-362.194855298702</v>
      </c>
      <c r="K18" s="182" t="n">
        <f aca="false">K16</f>
        <v>37.2271831604412</v>
      </c>
      <c r="L18" s="182" t="n">
        <f aca="false">L16</f>
        <v>717.069504382139</v>
      </c>
      <c r="M18" s="182" t="n">
        <f aca="false">M16</f>
        <v>1114.68541300117</v>
      </c>
      <c r="N18" s="182" t="n">
        <f aca="false">N16</f>
        <v>1808.22769825383</v>
      </c>
      <c r="O18" s="182" t="n">
        <f aca="false">O16</f>
        <v>2203.4466711425</v>
      </c>
      <c r="P18" s="182" t="n">
        <f aca="false">P16</f>
        <v>2614.82724603102</v>
      </c>
      <c r="Q18" s="182" t="n">
        <f aca="false">Q16</f>
        <v>6241.58639277674</v>
      </c>
      <c r="R18" s="182" t="n">
        <f aca="false">R16</f>
        <v>9861.70817384665</v>
      </c>
      <c r="S18" s="182" t="n">
        <f aca="false">S16</f>
        <v>10242.1973901611</v>
      </c>
      <c r="T18" s="182" t="n">
        <f aca="false">T16</f>
        <v>10615.0793943248</v>
      </c>
      <c r="U18" s="182" t="n">
        <f aca="false">U16</f>
        <v>10979.8346700569</v>
      </c>
      <c r="V18" s="182" t="n">
        <f aca="false">V16</f>
        <v>11704.0527099242</v>
      </c>
      <c r="W18" s="182" t="n">
        <f aca="false">W16</f>
        <v>12157.3652615017</v>
      </c>
      <c r="X18" s="182" t="n">
        <f aca="false">X16</f>
        <v>12191.193686941</v>
      </c>
      <c r="Y18" s="182" t="n">
        <f aca="false">Y16</f>
        <v>12222.3233335017</v>
      </c>
      <c r="Z18" s="182" t="n">
        <f aca="false">Z16</f>
        <v>12250.6732378174</v>
      </c>
      <c r="AA18" s="182" t="n">
        <f aca="false">AA16</f>
        <v>12276.160007621</v>
      </c>
      <c r="AB18" s="182" t="n">
        <f aca="false">AB16</f>
        <v>12298.6977488769</v>
      </c>
      <c r="AC18" s="182" t="n">
        <f aca="false">AC16</f>
        <v>12318.1979907288</v>
      </c>
      <c r="AD18" s="182" t="n">
        <f aca="false">AD16</f>
        <v>12334.5696081945</v>
      </c>
      <c r="AE18" s="182" t="n">
        <f aca="false">AE16</f>
        <v>12347.7187425424</v>
      </c>
      <c r="AF18" s="182" t="n">
        <f aca="false">AF16</f>
        <v>12357.5487192791</v>
      </c>
    </row>
    <row r="19" customFormat="false" ht="12.75" hidden="false" customHeight="false" outlineLevel="0" collapsed="false">
      <c r="A19" s="540" t="s">
        <v>389</v>
      </c>
      <c r="B19" s="570" t="n">
        <f aca="false">Assumptions!$O$56</f>
        <v>0.06</v>
      </c>
      <c r="C19" s="570" t="n">
        <f aca="false">Assumptions!$O$56</f>
        <v>0.06</v>
      </c>
      <c r="D19" s="570" t="n">
        <f aca="false">Assumptions!$O$56</f>
        <v>0.06</v>
      </c>
      <c r="E19" s="570" t="n">
        <f aca="false">Assumptions!$O$56</f>
        <v>0.06</v>
      </c>
      <c r="F19" s="570" t="n">
        <f aca="false">Assumptions!$O$56</f>
        <v>0.06</v>
      </c>
      <c r="G19" s="570" t="n">
        <f aca="false">Assumptions!$O$56</f>
        <v>0.06</v>
      </c>
      <c r="H19" s="570" t="n">
        <f aca="false">Assumptions!$O$56</f>
        <v>0.06</v>
      </c>
      <c r="I19" s="570" t="n">
        <f aca="false">Assumptions!$O$56</f>
        <v>0.06</v>
      </c>
      <c r="J19" s="570" t="n">
        <f aca="false">Assumptions!$O$56</f>
        <v>0.06</v>
      </c>
      <c r="K19" s="570" t="n">
        <f aca="false">Assumptions!$O$56</f>
        <v>0.06</v>
      </c>
      <c r="L19" s="570" t="n">
        <f aca="false">Assumptions!$O$56</f>
        <v>0.06</v>
      </c>
      <c r="M19" s="570" t="n">
        <f aca="false">Assumptions!$O$56</f>
        <v>0.06</v>
      </c>
      <c r="N19" s="570" t="n">
        <f aca="false">Assumptions!$O$56</f>
        <v>0.06</v>
      </c>
      <c r="O19" s="570" t="n">
        <f aca="false">Assumptions!$O$56</f>
        <v>0.06</v>
      </c>
      <c r="P19" s="570" t="n">
        <f aca="false">Assumptions!$O$56</f>
        <v>0.06</v>
      </c>
      <c r="Q19" s="570" t="n">
        <f aca="false">Assumptions!$O$56</f>
        <v>0.06</v>
      </c>
      <c r="R19" s="570" t="n">
        <f aca="false">Assumptions!$O$56</f>
        <v>0.06</v>
      </c>
      <c r="S19" s="570" t="n">
        <f aca="false">Assumptions!$O$56</f>
        <v>0.06</v>
      </c>
      <c r="T19" s="570" t="n">
        <f aca="false">Assumptions!$O$56</f>
        <v>0.06</v>
      </c>
      <c r="U19" s="570" t="n">
        <f aca="false">Assumptions!$O$56</f>
        <v>0.06</v>
      </c>
      <c r="V19" s="570" t="n">
        <f aca="false">Assumptions!$O$56</f>
        <v>0.06</v>
      </c>
      <c r="W19" s="570" t="n">
        <f aca="false">Assumptions!$O$56</f>
        <v>0.06</v>
      </c>
      <c r="X19" s="570" t="n">
        <f aca="false">Assumptions!$O$56</f>
        <v>0.06</v>
      </c>
      <c r="Y19" s="570" t="n">
        <f aca="false">Assumptions!$O$56</f>
        <v>0.06</v>
      </c>
      <c r="Z19" s="570" t="n">
        <f aca="false">Assumptions!$O$56</f>
        <v>0.06</v>
      </c>
      <c r="AA19" s="570" t="n">
        <f aca="false">Assumptions!$O$56</f>
        <v>0.06</v>
      </c>
      <c r="AB19" s="570" t="n">
        <f aca="false">Assumptions!$O$56</f>
        <v>0.06</v>
      </c>
      <c r="AC19" s="570" t="n">
        <f aca="false">Assumptions!$O$56</f>
        <v>0.06</v>
      </c>
      <c r="AD19" s="570" t="n">
        <f aca="false">Assumptions!$O$56</f>
        <v>0.06</v>
      </c>
      <c r="AE19" s="570" t="n">
        <f aca="false">Assumptions!$O$56</f>
        <v>0.06</v>
      </c>
      <c r="AF19" s="570" t="n">
        <f aca="false">Assumptions!$O$56</f>
        <v>0.06</v>
      </c>
    </row>
    <row r="20" customFormat="false" ht="12.75" hidden="false" customHeight="false" outlineLevel="0" collapsed="false">
      <c r="A20" s="540" t="s">
        <v>390</v>
      </c>
      <c r="B20" s="182" t="n">
        <f aca="false">B18*B19</f>
        <v>-205.113394603167</v>
      </c>
      <c r="C20" s="182" t="n">
        <f aca="false">C18*C19</f>
        <v>-515.220305090018</v>
      </c>
      <c r="D20" s="182" t="n">
        <f aca="false">D18*D19</f>
        <v>-779.342129087684</v>
      </c>
      <c r="E20" s="182" t="n">
        <f aca="false">E18*E19</f>
        <v>-299.68627949564</v>
      </c>
      <c r="F20" s="182" t="n">
        <f aca="false">F18*F19</f>
        <v>-203.556392646823</v>
      </c>
      <c r="G20" s="182" t="n">
        <f aca="false">G18*G19</f>
        <v>-132.390068289942</v>
      </c>
      <c r="H20" s="182" t="n">
        <f aca="false">H18*H19</f>
        <v>-85.7628556889916</v>
      </c>
      <c r="I20" s="182" t="n">
        <f aca="false">I18*I19</f>
        <v>-61.7210180906703</v>
      </c>
      <c r="J20" s="182" t="n">
        <f aca="false">J18*J19</f>
        <v>-21.7316913179221</v>
      </c>
      <c r="K20" s="182" t="n">
        <f aca="false">K18*K19</f>
        <v>2.23363098962647</v>
      </c>
      <c r="L20" s="182" t="n">
        <f aca="false">L18*L19</f>
        <v>43.0241702629283</v>
      </c>
      <c r="M20" s="182" t="n">
        <f aca="false">M18*M19</f>
        <v>66.8811247800699</v>
      </c>
      <c r="N20" s="182" t="n">
        <f aca="false">N18*N19</f>
        <v>108.49366189523</v>
      </c>
      <c r="O20" s="182" t="n">
        <f aca="false">O18*O19</f>
        <v>132.20680026855</v>
      </c>
      <c r="P20" s="182" t="n">
        <f aca="false">P18*P19</f>
        <v>156.889634761861</v>
      </c>
      <c r="Q20" s="182" t="n">
        <f aca="false">Q18*Q19</f>
        <v>374.495183566604</v>
      </c>
      <c r="R20" s="182" t="n">
        <f aca="false">R18*R19</f>
        <v>591.702490430799</v>
      </c>
      <c r="S20" s="182" t="n">
        <f aca="false">S18*S19</f>
        <v>614.531843409667</v>
      </c>
      <c r="T20" s="182" t="n">
        <f aca="false">T18*T19</f>
        <v>636.904763659489</v>
      </c>
      <c r="U20" s="182" t="n">
        <f aca="false">U18*U19</f>
        <v>658.790080203417</v>
      </c>
      <c r="V20" s="182" t="n">
        <f aca="false">V18*V19</f>
        <v>702.243162595452</v>
      </c>
      <c r="W20" s="182" t="n">
        <f aca="false">W18*W19</f>
        <v>729.441915690105</v>
      </c>
      <c r="X20" s="182" t="n">
        <f aca="false">X18*X19</f>
        <v>731.471621216458</v>
      </c>
      <c r="Y20" s="182" t="n">
        <f aca="false">Y18*Y19</f>
        <v>733.339400010099</v>
      </c>
      <c r="Z20" s="182" t="n">
        <f aca="false">Z18*Z19</f>
        <v>735.040394269046</v>
      </c>
      <c r="AA20" s="182" t="n">
        <f aca="false">AA18*AA19</f>
        <v>736.569600457258</v>
      </c>
      <c r="AB20" s="182" t="n">
        <f aca="false">AB18*AB19</f>
        <v>737.921864932613</v>
      </c>
      <c r="AC20" s="182" t="n">
        <f aca="false">AC18*AC19</f>
        <v>739.091879443727</v>
      </c>
      <c r="AD20" s="182" t="n">
        <f aca="false">AD18*AD19</f>
        <v>740.074176491669</v>
      </c>
      <c r="AE20" s="182" t="n">
        <f aca="false">AE18*AE19</f>
        <v>740.863124552546</v>
      </c>
      <c r="AF20" s="182" t="n">
        <f aca="false">AF18*AF19</f>
        <v>741.452923156747</v>
      </c>
    </row>
    <row r="21" customFormat="false" ht="12.75" hidden="false" customHeight="false" outlineLevel="0" collapsed="false">
      <c r="A21" s="540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</row>
    <row r="22" customFormat="false" ht="12.75" hidden="false" customHeight="false" outlineLevel="0" collapsed="false">
      <c r="A22" s="540" t="s">
        <v>391</v>
      </c>
      <c r="B22" s="182" t="n">
        <v>0</v>
      </c>
      <c r="C22" s="182" t="n">
        <f aca="false">B26</f>
        <v>205.113394603167</v>
      </c>
      <c r="D22" s="182" t="n">
        <f aca="false">C26</f>
        <v>720.333699693185</v>
      </c>
      <c r="E22" s="182" t="n">
        <f aca="false">D26</f>
        <v>1499.67582878087</v>
      </c>
      <c r="F22" s="182" t="n">
        <f aca="false">E26</f>
        <v>1799.36210827651</v>
      </c>
      <c r="G22" s="182" t="n">
        <f aca="false">F26</f>
        <v>2002.91850092333</v>
      </c>
      <c r="H22" s="182" t="n">
        <f aca="false">G26</f>
        <v>2135.30856921327</v>
      </c>
      <c r="I22" s="182" t="n">
        <f aca="false">H26</f>
        <v>2221.07142490227</v>
      </c>
      <c r="J22" s="182" t="n">
        <f aca="false">I26</f>
        <v>2282.79244299294</v>
      </c>
      <c r="K22" s="182" t="n">
        <f aca="false">J26</f>
        <v>2304.52413431086</v>
      </c>
      <c r="L22" s="182" t="n">
        <f aca="false">K26</f>
        <v>2302.29050332123</v>
      </c>
      <c r="M22" s="182" t="n">
        <f aca="false">L26</f>
        <v>2259.2663330583</v>
      </c>
      <c r="N22" s="182" t="n">
        <f aca="false">M26</f>
        <v>2192.38520827823</v>
      </c>
      <c r="O22" s="182" t="n">
        <f aca="false">N26</f>
        <v>2083.891546383</v>
      </c>
      <c r="P22" s="182" t="n">
        <f aca="false">O26</f>
        <v>1951.68474611445</v>
      </c>
      <c r="Q22" s="182" t="n">
        <f aca="false">P26</f>
        <v>1794.79511135259</v>
      </c>
      <c r="R22" s="182" t="n">
        <f aca="false">Q26</f>
        <v>1420.29992778599</v>
      </c>
      <c r="S22" s="182" t="n">
        <f aca="false">R26</f>
        <v>828.59743735519</v>
      </c>
      <c r="T22" s="182" t="n">
        <v>0</v>
      </c>
      <c r="U22" s="182" t="n">
        <f aca="false">T26</f>
        <v>0</v>
      </c>
      <c r="V22" s="182" t="n">
        <f aca="false">U26</f>
        <v>0</v>
      </c>
      <c r="W22" s="182" t="n">
        <f aca="false">V26</f>
        <v>0</v>
      </c>
      <c r="X22" s="182" t="n">
        <f aca="false">W26</f>
        <v>0</v>
      </c>
      <c r="Y22" s="182" t="n">
        <f aca="false">X26</f>
        <v>0</v>
      </c>
      <c r="Z22" s="182" t="n">
        <f aca="false">Y26</f>
        <v>0</v>
      </c>
      <c r="AA22" s="182" t="n">
        <f aca="false">Z26</f>
        <v>0</v>
      </c>
      <c r="AB22" s="182" t="n">
        <f aca="false">AA26</f>
        <v>0</v>
      </c>
      <c r="AC22" s="182" t="n">
        <f aca="false">AB26</f>
        <v>0</v>
      </c>
      <c r="AD22" s="182" t="n">
        <f aca="false">AC26</f>
        <v>0</v>
      </c>
      <c r="AE22" s="182" t="n">
        <f aca="false">AD26</f>
        <v>0</v>
      </c>
      <c r="AF22" s="182" t="n">
        <f aca="false">AE26</f>
        <v>0</v>
      </c>
    </row>
    <row r="23" customFormat="false" ht="12.75" hidden="false" customHeight="false" outlineLevel="0" collapsed="false">
      <c r="A23" s="540" t="s">
        <v>392</v>
      </c>
      <c r="B23" s="182" t="n">
        <f aca="false">IF(B20&lt;0,-B20,0)</f>
        <v>205.113394603167</v>
      </c>
      <c r="C23" s="182" t="n">
        <f aca="false">IF(C20&lt;0,-C20,0)</f>
        <v>515.220305090018</v>
      </c>
      <c r="D23" s="182" t="n">
        <f aca="false">IF(D20&lt;0,-D20,0)</f>
        <v>779.342129087684</v>
      </c>
      <c r="E23" s="182" t="n">
        <f aca="false">IF(E20&lt;0,-E20,0)</f>
        <v>299.68627949564</v>
      </c>
      <c r="F23" s="182" t="n">
        <f aca="false">IF(F20&lt;0,-F20,0)</f>
        <v>203.556392646823</v>
      </c>
      <c r="G23" s="182" t="n">
        <f aca="false">IF(G20&lt;0,-G20,0)</f>
        <v>132.390068289942</v>
      </c>
      <c r="H23" s="182" t="n">
        <f aca="false">IF(H20&lt;0,-H20,0)</f>
        <v>85.7628556889916</v>
      </c>
      <c r="I23" s="182" t="n">
        <f aca="false">IF(I20&lt;0,-I20,0)</f>
        <v>61.7210180906703</v>
      </c>
      <c r="J23" s="182" t="n">
        <f aca="false">IF(J20&lt;0,-J20,0)</f>
        <v>21.7316913179221</v>
      </c>
      <c r="K23" s="182" t="n">
        <f aca="false">IF(K20&lt;0,-K20,0)</f>
        <v>0</v>
      </c>
      <c r="L23" s="182" t="n">
        <f aca="false">IF(L20&lt;0,-L20,0)</f>
        <v>0</v>
      </c>
      <c r="M23" s="182" t="n">
        <f aca="false">IF(M20&lt;0,-M20,0)</f>
        <v>0</v>
      </c>
      <c r="N23" s="182" t="n">
        <f aca="false">IF(N20&lt;0,-N20,0)</f>
        <v>0</v>
      </c>
      <c r="O23" s="182" t="n">
        <f aca="false">IF(O20&lt;0,-O20,0)</f>
        <v>0</v>
      </c>
      <c r="P23" s="182" t="n">
        <f aca="false">IF(P20&lt;0,-P20,0)</f>
        <v>0</v>
      </c>
      <c r="Q23" s="182" t="n">
        <f aca="false">IF(Q20&lt;0,-Q20,0)</f>
        <v>0</v>
      </c>
      <c r="R23" s="182" t="n">
        <f aca="false">IF(R20&lt;0,-R20,0)</f>
        <v>0</v>
      </c>
      <c r="S23" s="182" t="n">
        <f aca="false">IF(S20&lt;0,-S20,0)</f>
        <v>0</v>
      </c>
      <c r="T23" s="182" t="n">
        <f aca="false">IF(T20&lt;0,-T20,0)</f>
        <v>0</v>
      </c>
      <c r="U23" s="182" t="n">
        <f aca="false">IF(U20&lt;0,-U20,0)</f>
        <v>0</v>
      </c>
      <c r="V23" s="182" t="n">
        <f aca="false">IF(V20&lt;0,-V20,0)</f>
        <v>0</v>
      </c>
      <c r="W23" s="182" t="n">
        <f aca="false">IF(W20&lt;0,-W20,0)</f>
        <v>0</v>
      </c>
      <c r="X23" s="182" t="n">
        <f aca="false">IF(X20&lt;0,-X20,0)</f>
        <v>0</v>
      </c>
      <c r="Y23" s="182" t="n">
        <f aca="false">IF(Y20&lt;0,-Y20,0)</f>
        <v>0</v>
      </c>
      <c r="Z23" s="182" t="n">
        <f aca="false">IF(Z20&lt;0,-Z20,0)</f>
        <v>0</v>
      </c>
      <c r="AA23" s="182" t="n">
        <f aca="false">IF(AA20&lt;0,-AA20,0)</f>
        <v>0</v>
      </c>
      <c r="AB23" s="182" t="n">
        <f aca="false">IF(AB20&lt;0,-AB20,0)</f>
        <v>0</v>
      </c>
      <c r="AC23" s="182" t="n">
        <f aca="false">IF(AC20&lt;0,-AC20,0)</f>
        <v>0</v>
      </c>
      <c r="AD23" s="182" t="n">
        <f aca="false">IF(AD20&lt;0,-AD20,0)</f>
        <v>0</v>
      </c>
      <c r="AE23" s="182" t="n">
        <f aca="false">IF(AE20&lt;0,-AE20,0)</f>
        <v>0</v>
      </c>
      <c r="AF23" s="182" t="n">
        <f aca="false">IF(AF20&lt;0,-AF20,0)</f>
        <v>0</v>
      </c>
    </row>
    <row r="24" customFormat="false" ht="12.75" hidden="false" customHeight="false" outlineLevel="0" collapsed="false">
      <c r="A24" s="540" t="s">
        <v>393</v>
      </c>
      <c r="B24" s="571" t="n">
        <v>0</v>
      </c>
      <c r="C24" s="571" t="n">
        <v>0</v>
      </c>
      <c r="D24" s="571" t="n">
        <v>0</v>
      </c>
      <c r="E24" s="571" t="n">
        <v>0</v>
      </c>
      <c r="F24" s="571" t="n">
        <v>0</v>
      </c>
      <c r="G24" s="571" t="n">
        <v>0</v>
      </c>
      <c r="H24" s="571" t="n">
        <v>0</v>
      </c>
      <c r="I24" s="571" t="n">
        <v>0</v>
      </c>
      <c r="J24" s="571" t="n">
        <v>0</v>
      </c>
      <c r="K24" s="571" t="n">
        <v>0</v>
      </c>
      <c r="L24" s="571" t="n">
        <v>0</v>
      </c>
      <c r="M24" s="571" t="n">
        <v>0</v>
      </c>
      <c r="N24" s="571" t="n">
        <v>0</v>
      </c>
      <c r="O24" s="571" t="n">
        <v>0</v>
      </c>
      <c r="P24" s="571" t="n">
        <v>0</v>
      </c>
      <c r="Q24" s="571" t="n">
        <v>0</v>
      </c>
      <c r="R24" s="571" t="n">
        <v>0</v>
      </c>
      <c r="S24" s="571" t="n">
        <v>0</v>
      </c>
      <c r="T24" s="571" t="n">
        <v>0</v>
      </c>
      <c r="U24" s="571" t="n">
        <v>0</v>
      </c>
      <c r="V24" s="182" t="n">
        <f aca="false">IF(N23&gt;(SUM(O25:U25)+SUM(N24:U24))*-1,N23-(SUM(N25:U25)+SUM(N24:U24))*-1,0)</f>
        <v>0</v>
      </c>
      <c r="W24" s="182" t="n">
        <f aca="false">IF(O23&gt;(SUM(P25:V25)+SUM(O24:V24))*-1,O23-(SUM(O25:V25)+SUM(O24:V24))*-1,0)</f>
        <v>0</v>
      </c>
      <c r="X24" s="182" t="n">
        <f aca="false">IF(P23&gt;(SUM(Q25:W25)+SUM(P24:W24))*-1,P23-(SUM(P25:W25)+SUM(P24:W24))*-1,0)</f>
        <v>0</v>
      </c>
      <c r="Y24" s="182" t="n">
        <f aca="false">IF(Q23&gt;(SUM(R25:X25)+SUM(Q24:X24))*-1,Q23-(SUM(Q25:X25)+SUM(Q24:X24))*-1,0)</f>
        <v>0</v>
      </c>
      <c r="Z24" s="182" t="n">
        <f aca="false">IF(R23&gt;(SUM(S25:Y25)+SUM(R24:Y24))*-1,R23-(SUM(R25:Y25)+SUM(R24:Y24))*-1,0)</f>
        <v>0</v>
      </c>
      <c r="AA24" s="182" t="n">
        <f aca="false">IF(S23&gt;(SUM(T25:Z25)+SUM(S24:Z24))*-1,S23-(SUM(S25:Z25)+SUM(S24:Z24))*-1,0)</f>
        <v>0</v>
      </c>
      <c r="AB24" s="182" t="n">
        <f aca="false">IF(T23&gt;(SUM(U25:AA25)+SUM(T24:AA24))*-1,T23-(SUM(T25:AA25)+SUM(T24:AA24))*-1,0)</f>
        <v>0</v>
      </c>
      <c r="AC24" s="182" t="n">
        <f aca="false">IF(U23&gt;(SUM(V25:AB25)+SUM(U24:AB24))*-1,U23-(SUM(U25:AB25)+SUM(U24:AB24))*-1,0)</f>
        <v>0</v>
      </c>
      <c r="AD24" s="182" t="n">
        <f aca="false">IF(V23&gt;(SUM(W25:AC25)+SUM(V24:AC24))*-1,V23-(SUM(V25:AC25)+SUM(V24:AC24))*-1,0)</f>
        <v>0</v>
      </c>
      <c r="AE24" s="182" t="n">
        <f aca="false">IF(W23&gt;(SUM(X25:AD25)+SUM(W24:AD24))*-1,W23-(SUM(W25:AD25)+SUM(W24:AD24))*-1,0)</f>
        <v>0</v>
      </c>
      <c r="AF24" s="182" t="n">
        <f aca="false">IF(X23&gt;(SUM(Y25:AE25)+SUM(X24:AE24))*-1,X23-(SUM(X25:AE25)+SUM(X24:AE24))*-1,0)</f>
        <v>0</v>
      </c>
    </row>
    <row r="25" customFormat="false" ht="12.75" hidden="false" customHeight="false" outlineLevel="0" collapsed="false">
      <c r="A25" s="39" t="s">
        <v>394</v>
      </c>
      <c r="B25" s="568" t="n">
        <f aca="false">IF(B20&lt;0,0,IF(B22&gt;B20,-B20,-B22))</f>
        <v>0</v>
      </c>
      <c r="C25" s="568" t="n">
        <f aca="false">IF(C20&lt;0,0,IF(C22&gt;C20,-C20,-C22))</f>
        <v>0</v>
      </c>
      <c r="D25" s="568" t="n">
        <f aca="false">IF(D20&lt;0,0,IF(D22&gt;D20,-D20,-D22))</f>
        <v>0</v>
      </c>
      <c r="E25" s="568" t="n">
        <f aca="false">IF(E20&lt;0,0,IF(E22&gt;E20,-E20,-E22))</f>
        <v>0</v>
      </c>
      <c r="F25" s="568" t="n">
        <f aca="false">IF(F20&lt;0,0,IF(F22&gt;F20,-F20,-F22))</f>
        <v>0</v>
      </c>
      <c r="G25" s="568" t="n">
        <f aca="false">IF(G20&lt;0,0,IF(G22&gt;G20,-G20,-G22))</f>
        <v>0</v>
      </c>
      <c r="H25" s="568" t="n">
        <f aca="false">IF(H20&lt;0,0,IF(H22&gt;H20,-H20,-H22))</f>
        <v>0</v>
      </c>
      <c r="I25" s="568" t="n">
        <f aca="false">IF(I20&lt;0,0,IF(I22&gt;I20,-I20,-I22))</f>
        <v>0</v>
      </c>
      <c r="J25" s="568" t="n">
        <f aca="false">IF(J20&lt;0,0,IF(J22&gt;J20,-J20,-J22))</f>
        <v>0</v>
      </c>
      <c r="K25" s="568" t="n">
        <f aca="false">IF(K20&lt;0,0,IF(K22&gt;K20,-K20,-K22))</f>
        <v>-2.23363098962647</v>
      </c>
      <c r="L25" s="568" t="n">
        <f aca="false">IF(L20&lt;0,0,IF(L22&gt;L20,-L20,-L22))</f>
        <v>-43.0241702629283</v>
      </c>
      <c r="M25" s="568" t="n">
        <f aca="false">IF(M20&lt;0,0,IF(M22&gt;M20,-M20,-M22))</f>
        <v>-66.8811247800699</v>
      </c>
      <c r="N25" s="568" t="n">
        <f aca="false">IF(N20&lt;0,0,IF(N22&gt;N20,-N20,-N22))</f>
        <v>-108.49366189523</v>
      </c>
      <c r="O25" s="568" t="n">
        <f aca="false">IF(O20&lt;0,0,IF(O22&gt;O20,-O20,-O22))</f>
        <v>-132.20680026855</v>
      </c>
      <c r="P25" s="568" t="n">
        <f aca="false">IF(P20&lt;0,0,IF(P22&gt;P20,-P20,-P22))</f>
        <v>-156.889634761861</v>
      </c>
      <c r="Q25" s="568" t="n">
        <f aca="false">IF(Q20&lt;0,0,IF(Q22&gt;Q20,-Q20,-Q22))</f>
        <v>-374.495183566604</v>
      </c>
      <c r="R25" s="568" t="n">
        <f aca="false">IF(R20&lt;0,0,IF(R22&gt;R20,-R20,-R22))</f>
        <v>-591.702490430799</v>
      </c>
      <c r="S25" s="568" t="n">
        <f aca="false">IF(S20&lt;0,0,IF(S22&gt;S20,-S20,-S22))</f>
        <v>-614.531843409667</v>
      </c>
      <c r="T25" s="568" t="n">
        <f aca="false">IF(T20&lt;0,0,IF(T22&gt;T20,-T20,-T22))</f>
        <v>-0</v>
      </c>
      <c r="U25" s="568" t="n">
        <f aca="false">IF(U20&lt;0,0,IF(U22&gt;U20,-U20,-U22))</f>
        <v>-0</v>
      </c>
      <c r="V25" s="568" t="n">
        <f aca="false">IF(V20&lt;0,0,IF(V22&gt;V20,-V20,-V22))</f>
        <v>-0</v>
      </c>
      <c r="W25" s="568" t="n">
        <f aca="false">IF(W20&lt;0,0,IF(W22&gt;W20,-W20,-W22))</f>
        <v>-0</v>
      </c>
      <c r="X25" s="568" t="n">
        <f aca="false">IF(X20&lt;0,0,IF(X22&gt;X20,-X20,-X22))</f>
        <v>-0</v>
      </c>
      <c r="Y25" s="568" t="n">
        <f aca="false">IF(Y20&lt;0,0,IF(Y22&gt;Y20,-Y20,-Y22))</f>
        <v>-0</v>
      </c>
      <c r="Z25" s="568" t="n">
        <f aca="false">IF(Z20&lt;0,0,IF(Z22&gt;Z20,-Z20,-Z22))</f>
        <v>-0</v>
      </c>
      <c r="AA25" s="568" t="n">
        <f aca="false">IF(AA20&lt;0,0,IF(AA22&gt;AA20,-AA20,-AA22))</f>
        <v>-0</v>
      </c>
      <c r="AB25" s="568" t="n">
        <f aca="false">IF(AB20&lt;0,0,IF(AB22&gt;AB20,-AB20,-AB22))</f>
        <v>-0</v>
      </c>
      <c r="AC25" s="568" t="n">
        <f aca="false">IF(AC20&lt;0,0,IF(AC22&gt;AC20,-AC20,-AC22))</f>
        <v>-0</v>
      </c>
      <c r="AD25" s="568" t="n">
        <f aca="false">IF(AD20&lt;0,0,IF(AD22&gt;AD20,-AD20,-AD22))</f>
        <v>-0</v>
      </c>
      <c r="AE25" s="568" t="n">
        <f aca="false">IF(AE20&lt;0,0,IF(AE22&gt;AE20,-AE20,-AE22))</f>
        <v>-0</v>
      </c>
      <c r="AF25" s="568" t="n">
        <f aca="false">IF(AF20&lt;0,0,IF(AF22&gt;AF20,-AF20,-AF22))</f>
        <v>-0</v>
      </c>
    </row>
    <row r="26" customFormat="false" ht="12.75" hidden="false" customHeight="false" outlineLevel="0" collapsed="false">
      <c r="A26" s="39" t="s">
        <v>395</v>
      </c>
      <c r="B26" s="568" t="n">
        <f aca="false">SUM(B22:B25)</f>
        <v>205.113394603167</v>
      </c>
      <c r="C26" s="568" t="n">
        <f aca="false">SUM(C22:C25)</f>
        <v>720.333699693185</v>
      </c>
      <c r="D26" s="568" t="n">
        <f aca="false">SUM(D22:D25)</f>
        <v>1499.67582878087</v>
      </c>
      <c r="E26" s="568" t="n">
        <f aca="false">SUM(E22:E25)</f>
        <v>1799.36210827651</v>
      </c>
      <c r="F26" s="568" t="n">
        <f aca="false">SUM(F22:F25)</f>
        <v>2002.91850092333</v>
      </c>
      <c r="G26" s="568" t="n">
        <f aca="false">SUM(G22:G25)</f>
        <v>2135.30856921327</v>
      </c>
      <c r="H26" s="568" t="n">
        <f aca="false">SUM(H22:H25)</f>
        <v>2221.07142490227</v>
      </c>
      <c r="I26" s="568" t="n">
        <f aca="false">SUM(I22:I25)</f>
        <v>2282.79244299294</v>
      </c>
      <c r="J26" s="568" t="n">
        <f aca="false">SUM(J22:J25)</f>
        <v>2304.52413431086</v>
      </c>
      <c r="K26" s="568" t="n">
        <f aca="false">SUM(K22:K25)</f>
        <v>2302.29050332123</v>
      </c>
      <c r="L26" s="568" t="n">
        <f aca="false">SUM(L22:L25)</f>
        <v>2259.2663330583</v>
      </c>
      <c r="M26" s="568" t="n">
        <f aca="false">SUM(M22:M25)</f>
        <v>2192.38520827823</v>
      </c>
      <c r="N26" s="568" t="n">
        <f aca="false">SUM(N22:N25)</f>
        <v>2083.891546383</v>
      </c>
      <c r="O26" s="568" t="n">
        <f aca="false">SUM(O22:O25)</f>
        <v>1951.68474611445</v>
      </c>
      <c r="P26" s="568" t="n">
        <f aca="false">SUM(P22:P25)</f>
        <v>1794.79511135259</v>
      </c>
      <c r="Q26" s="568" t="n">
        <f aca="false">SUM(Q22:Q25)</f>
        <v>1420.29992778599</v>
      </c>
      <c r="R26" s="568" t="n">
        <f aca="false">SUM(R22:R25)</f>
        <v>828.59743735519</v>
      </c>
      <c r="S26" s="568" t="n">
        <f aca="false">SUM(S22:S25)</f>
        <v>214.065593945522</v>
      </c>
      <c r="T26" s="568" t="n">
        <f aca="false">SUM(T22:T25)</f>
        <v>0</v>
      </c>
      <c r="U26" s="568" t="n">
        <f aca="false">SUM(U22:U25)</f>
        <v>0</v>
      </c>
      <c r="V26" s="568" t="n">
        <f aca="false">SUM(V22:V25)</f>
        <v>0</v>
      </c>
      <c r="W26" s="568" t="n">
        <f aca="false">SUM(W22:W25)</f>
        <v>0</v>
      </c>
      <c r="X26" s="568" t="n">
        <f aca="false">SUM(X22:X25)</f>
        <v>0</v>
      </c>
      <c r="Y26" s="568" t="n">
        <f aca="false">SUM(Y22:Y25)</f>
        <v>0</v>
      </c>
      <c r="Z26" s="568" t="n">
        <f aca="false">SUM(Z22:Z25)</f>
        <v>0</v>
      </c>
      <c r="AA26" s="568" t="n">
        <f aca="false">SUM(AA22:AA25)</f>
        <v>0</v>
      </c>
      <c r="AB26" s="568" t="n">
        <f aca="false">SUM(AB22:AB25)</f>
        <v>0</v>
      </c>
      <c r="AC26" s="568" t="n">
        <f aca="false">SUM(AC22:AC25)</f>
        <v>0</v>
      </c>
      <c r="AD26" s="568" t="n">
        <f aca="false">SUM(AD22:AD25)</f>
        <v>0</v>
      </c>
      <c r="AE26" s="568" t="n">
        <f aca="false">SUM(AE22:AE25)</f>
        <v>0</v>
      </c>
      <c r="AF26" s="568" t="n">
        <f aca="false">SUM(AF22:AF25)</f>
        <v>0</v>
      </c>
    </row>
    <row r="27" customFormat="false" ht="12.75" hidden="false" customHeight="false" outlineLevel="0" collapsed="false">
      <c r="A27" s="39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</row>
    <row r="28" customFormat="false" ht="12.75" hidden="false" customHeight="false" outlineLevel="0" collapsed="false">
      <c r="A28" s="185" t="s">
        <v>396</v>
      </c>
      <c r="B28" s="182" t="n">
        <f aca="false">IF(B20&lt;0,0,B20+B25)</f>
        <v>0</v>
      </c>
      <c r="C28" s="182" t="n">
        <f aca="false">IF(C20&lt;0,0,C20+C25)</f>
        <v>0</v>
      </c>
      <c r="D28" s="182" t="n">
        <f aca="false">IF(D20&lt;0,0,D20+D25)</f>
        <v>0</v>
      </c>
      <c r="E28" s="182" t="n">
        <f aca="false">IF(E20&lt;0,0,E20+E25)</f>
        <v>0</v>
      </c>
      <c r="F28" s="182" t="n">
        <f aca="false">IF(F20&lt;0,0,F20+F25)</f>
        <v>0</v>
      </c>
      <c r="G28" s="182" t="n">
        <f aca="false">IF(G20&lt;0,0,G20+G25)</f>
        <v>0</v>
      </c>
      <c r="H28" s="182" t="n">
        <f aca="false">IF(H20&lt;0,0,H20+H25)</f>
        <v>0</v>
      </c>
      <c r="I28" s="182" t="n">
        <f aca="false">IF(I20&lt;0,0,I20+I25)</f>
        <v>0</v>
      </c>
      <c r="J28" s="182" t="n">
        <f aca="false">IF(J20&lt;0,0,J20+J25)</f>
        <v>0</v>
      </c>
      <c r="K28" s="182" t="n">
        <f aca="false">IF(K20&lt;0,0,K20+K25)</f>
        <v>0</v>
      </c>
      <c r="L28" s="182" t="n">
        <f aca="false">IF(L20&lt;0,0,L20+L25)</f>
        <v>0</v>
      </c>
      <c r="M28" s="182" t="n">
        <f aca="false">IF(M20&lt;0,0,M20+M25)</f>
        <v>0</v>
      </c>
      <c r="N28" s="182" t="n">
        <f aca="false">IF(N20&lt;0,0,N20+N25)</f>
        <v>0</v>
      </c>
      <c r="O28" s="182" t="n">
        <f aca="false">IF(O20&lt;0,0,O20+O25)</f>
        <v>0</v>
      </c>
      <c r="P28" s="182" t="n">
        <f aca="false">IF(P20&lt;0,0,P20+P25)</f>
        <v>0</v>
      </c>
      <c r="Q28" s="182" t="n">
        <f aca="false">IF(Q20&lt;0,0,Q20+Q25)</f>
        <v>0</v>
      </c>
      <c r="R28" s="182" t="n">
        <f aca="false">IF(R20&lt;0,0,R20+R25)</f>
        <v>0</v>
      </c>
      <c r="S28" s="182" t="n">
        <f aca="false">IF(S20&lt;0,0,S20+S25)</f>
        <v>0</v>
      </c>
      <c r="T28" s="182" t="n">
        <f aca="false">IF(T20&lt;0,0,T20+T25)</f>
        <v>636.904763659489</v>
      </c>
      <c r="U28" s="182" t="n">
        <f aca="false">IF(U20&lt;0,0,U20+U25)</f>
        <v>658.790080203417</v>
      </c>
      <c r="V28" s="182" t="n">
        <f aca="false">IF(V20&lt;0,0,V20+V25)</f>
        <v>702.243162595452</v>
      </c>
      <c r="W28" s="182" t="n">
        <f aca="false">IF(W20&lt;0,0,W20+W25)</f>
        <v>729.441915690105</v>
      </c>
      <c r="X28" s="182" t="n">
        <f aca="false">IF(X20&lt;0,0,X20+X25)</f>
        <v>731.471621216458</v>
      </c>
      <c r="Y28" s="182" t="n">
        <f aca="false">IF(Y20&lt;0,0,Y20+Y25)</f>
        <v>733.339400010099</v>
      </c>
      <c r="Z28" s="182" t="n">
        <f aca="false">IF(Z20&lt;0,0,Z20+Z25)</f>
        <v>735.040394269046</v>
      </c>
      <c r="AA28" s="182" t="n">
        <f aca="false">IF(AA20&lt;0,0,AA20+AA25)</f>
        <v>736.569600457258</v>
      </c>
      <c r="AB28" s="182" t="n">
        <f aca="false">IF(AB20&lt;0,0,AB20+AB25)</f>
        <v>737.921864932613</v>
      </c>
      <c r="AC28" s="182" t="n">
        <f aca="false">IF(AC20&lt;0,0,AC20+AC25)</f>
        <v>739.091879443727</v>
      </c>
      <c r="AD28" s="182" t="n">
        <f aca="false">IF(AD20&lt;0,0,AD20+AD25)</f>
        <v>740.074176491669</v>
      </c>
      <c r="AE28" s="182" t="n">
        <f aca="false">IF(AE20&lt;0,0,AE20+AE25)</f>
        <v>740.863124552546</v>
      </c>
      <c r="AF28" s="182" t="n">
        <f aca="false">IF(AF20&lt;0,0,AF20+AF25)</f>
        <v>741.452923156747</v>
      </c>
    </row>
    <row r="29" customFormat="false" ht="12.75" hidden="false" customHeight="false" outlineLevel="0" collapsed="false">
      <c r="A29" s="39" t="s">
        <v>397</v>
      </c>
      <c r="B29" s="572" t="n">
        <v>0</v>
      </c>
      <c r="C29" s="572" t="n">
        <v>0</v>
      </c>
      <c r="D29" s="572" t="n">
        <v>0</v>
      </c>
      <c r="E29" s="572" t="n">
        <v>0</v>
      </c>
      <c r="F29" s="572" t="n">
        <v>0</v>
      </c>
      <c r="G29" s="572" t="n">
        <v>0</v>
      </c>
      <c r="H29" s="572" t="n">
        <v>0</v>
      </c>
      <c r="I29" s="572" t="n">
        <v>0</v>
      </c>
      <c r="J29" s="572" t="n">
        <v>0</v>
      </c>
      <c r="K29" s="572" t="n">
        <v>0</v>
      </c>
      <c r="L29" s="572" t="n">
        <v>0</v>
      </c>
      <c r="M29" s="572" t="n">
        <v>0</v>
      </c>
      <c r="N29" s="572" t="n">
        <v>0</v>
      </c>
      <c r="O29" s="572" t="n">
        <v>0</v>
      </c>
      <c r="P29" s="572" t="n">
        <v>0</v>
      </c>
      <c r="Q29" s="572" t="n">
        <v>0</v>
      </c>
      <c r="R29" s="572" t="n">
        <v>0</v>
      </c>
      <c r="S29" s="572" t="n">
        <v>0</v>
      </c>
      <c r="T29" s="572" t="n">
        <v>0</v>
      </c>
      <c r="U29" s="572" t="n">
        <v>0</v>
      </c>
      <c r="V29" s="572" t="n">
        <v>0</v>
      </c>
      <c r="W29" s="572" t="n">
        <v>0</v>
      </c>
      <c r="X29" s="572" t="n">
        <v>0</v>
      </c>
      <c r="Y29" s="572" t="n">
        <v>0</v>
      </c>
      <c r="Z29" s="572" t="n">
        <v>0</v>
      </c>
      <c r="AA29" s="572" t="n">
        <v>0</v>
      </c>
      <c r="AB29" s="572" t="n">
        <v>0</v>
      </c>
      <c r="AC29" s="572" t="n">
        <v>0</v>
      </c>
      <c r="AD29" s="572" t="n">
        <v>0</v>
      </c>
      <c r="AE29" s="572" t="n">
        <v>0</v>
      </c>
      <c r="AF29" s="572" t="n">
        <v>0</v>
      </c>
    </row>
    <row r="30" customFormat="false" ht="12.75" hidden="false" customHeight="false" outlineLevel="0" collapsed="false">
      <c r="A30" s="185" t="s">
        <v>398</v>
      </c>
      <c r="B30" s="573" t="n">
        <f aca="false">SUM(B28:B29)</f>
        <v>0</v>
      </c>
      <c r="C30" s="574" t="n">
        <f aca="false">SUM(C28:C29)</f>
        <v>0</v>
      </c>
      <c r="D30" s="574" t="n">
        <f aca="false">SUM(D28:D29)</f>
        <v>0</v>
      </c>
      <c r="E30" s="574" t="n">
        <f aca="false">SUM(E28:E29)</f>
        <v>0</v>
      </c>
      <c r="F30" s="574" t="n">
        <f aca="false">SUM(F28:F29)</f>
        <v>0</v>
      </c>
      <c r="G30" s="574" t="n">
        <f aca="false">SUM(G28:G29)</f>
        <v>0</v>
      </c>
      <c r="H30" s="574" t="n">
        <f aca="false">SUM(H28:H29)</f>
        <v>0</v>
      </c>
      <c r="I30" s="574" t="n">
        <f aca="false">SUM(I28:I29)</f>
        <v>0</v>
      </c>
      <c r="J30" s="574" t="n">
        <f aca="false">SUM(J28:J29)</f>
        <v>0</v>
      </c>
      <c r="K30" s="574" t="n">
        <f aca="false">SUM(K28:K29)</f>
        <v>0</v>
      </c>
      <c r="L30" s="575" t="n">
        <f aca="false">SUM(L28:L29)</f>
        <v>0</v>
      </c>
      <c r="M30" s="573" t="n">
        <f aca="false">SUM(M28:M29)</f>
        <v>0</v>
      </c>
      <c r="N30" s="574" t="n">
        <f aca="false">SUM(N28:N29)</f>
        <v>0</v>
      </c>
      <c r="O30" s="574" t="n">
        <f aca="false">SUM(O28:O29)</f>
        <v>0</v>
      </c>
      <c r="P30" s="574" t="n">
        <f aca="false">SUM(P28:P29)</f>
        <v>0</v>
      </c>
      <c r="Q30" s="574" t="n">
        <f aca="false">SUM(Q28:Q29)</f>
        <v>0</v>
      </c>
      <c r="R30" s="574" t="n">
        <f aca="false">SUM(R28:R29)</f>
        <v>0</v>
      </c>
      <c r="S30" s="574" t="n">
        <f aca="false">SUM(S28:S29)</f>
        <v>0</v>
      </c>
      <c r="T30" s="574" t="n">
        <f aca="false">SUM(T28:T29)</f>
        <v>636.904763659489</v>
      </c>
      <c r="U30" s="574" t="n">
        <f aca="false">SUM(U28:U29)</f>
        <v>658.790080203417</v>
      </c>
      <c r="V30" s="574" t="n">
        <f aca="false">SUM(V28:V29)</f>
        <v>702.243162595452</v>
      </c>
      <c r="W30" s="574" t="n">
        <f aca="false">SUM(W28:W29)</f>
        <v>729.441915690105</v>
      </c>
      <c r="X30" s="574" t="n">
        <f aca="false">SUM(X28:X29)</f>
        <v>731.471621216458</v>
      </c>
      <c r="Y30" s="574" t="n">
        <f aca="false">SUM(Y28:Y29)</f>
        <v>733.339400010099</v>
      </c>
      <c r="Z30" s="574" t="n">
        <f aca="false">SUM(Z28:Z29)</f>
        <v>735.040394269046</v>
      </c>
      <c r="AA30" s="574" t="n">
        <f aca="false">SUM(AA28:AA29)</f>
        <v>736.569600457258</v>
      </c>
      <c r="AB30" s="574" t="n">
        <f aca="false">SUM(AB28:AB29)</f>
        <v>737.921864932613</v>
      </c>
      <c r="AC30" s="574" t="n">
        <f aca="false">SUM(AC28:AC29)</f>
        <v>739.091879443727</v>
      </c>
      <c r="AD30" s="574" t="n">
        <f aca="false">SUM(AD28:AD29)</f>
        <v>740.074176491669</v>
      </c>
      <c r="AE30" s="574" t="n">
        <f aca="false">SUM(AE28:AE29)</f>
        <v>740.863124552546</v>
      </c>
      <c r="AF30" s="574" t="n">
        <f aca="false">SUM(AF28:AF29)</f>
        <v>741.452923156747</v>
      </c>
    </row>
    <row r="31" customFormat="false" ht="12.75" hidden="false" customHeight="false" outlineLevel="0" collapsed="false">
      <c r="A31" s="185"/>
      <c r="B31" s="352"/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  <c r="Y31" s="352"/>
      <c r="Z31" s="352"/>
      <c r="AA31" s="352"/>
      <c r="AB31" s="352"/>
      <c r="AC31" s="352"/>
      <c r="AD31" s="352"/>
      <c r="AE31" s="352"/>
      <c r="AF31" s="352"/>
    </row>
    <row r="32" customFormat="false" ht="12.75" hidden="false" customHeight="false" outlineLevel="0" collapsed="false">
      <c r="A32" s="540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</row>
    <row r="33" customFormat="false" ht="12.75" hidden="false" customHeight="false" outlineLevel="0" collapsed="false">
      <c r="A33" s="566" t="s">
        <v>399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</row>
    <row r="34" customFormat="false" ht="12.75" hidden="false" customHeight="false" outlineLevel="0" collapsed="false">
      <c r="A34" s="540" t="s">
        <v>385</v>
      </c>
      <c r="B34" s="182" t="n">
        <f aca="false">B13</f>
        <v>-131.246576719451</v>
      </c>
      <c r="C34" s="182" t="n">
        <f aca="false">C13</f>
        <v>-3108.15508483362</v>
      </c>
      <c r="D34" s="182" t="n">
        <f aca="false">D13</f>
        <v>-8551.16698479473</v>
      </c>
      <c r="E34" s="182" t="n">
        <f aca="false">E13</f>
        <v>-1488.30732492734</v>
      </c>
      <c r="F34" s="182" t="n">
        <f aca="false">F13</f>
        <v>-729.88544411372</v>
      </c>
      <c r="G34" s="182" t="n">
        <f aca="false">G13</f>
        <v>-310.819038165703</v>
      </c>
      <c r="H34" s="182" t="n">
        <f aca="false">H13</f>
        <v>104.697071850139</v>
      </c>
      <c r="I34" s="182" t="n">
        <f aca="false">I13</f>
        <v>516.352065155495</v>
      </c>
      <c r="J34" s="182" t="n">
        <f aca="false">J13</f>
        <v>1171.8831447013</v>
      </c>
      <c r="K34" s="182" t="n">
        <f aca="false">K13</f>
        <v>1582.26288316044</v>
      </c>
      <c r="L34" s="182" t="n">
        <f aca="false">L13</f>
        <v>2251.14750438214</v>
      </c>
      <c r="M34" s="182" t="n">
        <f aca="false">M13</f>
        <v>2659.72111300116</v>
      </c>
      <c r="N34" s="182" t="n">
        <f aca="false">N13</f>
        <v>3342.30569825383</v>
      </c>
      <c r="O34" s="182" t="n">
        <f aca="false">O13</f>
        <v>3748.4823711425</v>
      </c>
      <c r="P34" s="182" t="n">
        <f aca="false">P13</f>
        <v>4148.90524603102</v>
      </c>
      <c r="Q34" s="182" t="n">
        <f aca="false">Q13</f>
        <v>4543.14289277674</v>
      </c>
      <c r="R34" s="182" t="n">
        <f aca="false">R13</f>
        <v>4930.74317384665</v>
      </c>
      <c r="S34" s="182" t="n">
        <f aca="false">S13</f>
        <v>5311.23239016112</v>
      </c>
      <c r="T34" s="182" t="n">
        <f aca="false">T13</f>
        <v>5684.11439432481</v>
      </c>
      <c r="U34" s="182" t="n">
        <f aca="false">U13</f>
        <v>6048.86967005695</v>
      </c>
      <c r="V34" s="182" t="n">
        <f aca="false">V13</f>
        <v>6773.0877099242</v>
      </c>
      <c r="W34" s="182" t="n">
        <f aca="false">W13</f>
        <v>7226.40026150174</v>
      </c>
      <c r="X34" s="182" t="n">
        <f aca="false">X13</f>
        <v>7260.22868694096</v>
      </c>
      <c r="Y34" s="182" t="n">
        <f aca="false">Y13</f>
        <v>7291.35833350166</v>
      </c>
      <c r="Z34" s="182" t="n">
        <f aca="false">Z13</f>
        <v>7319.70823781744</v>
      </c>
      <c r="AA34" s="182" t="n">
        <f aca="false">AA13</f>
        <v>7345.19500762097</v>
      </c>
      <c r="AB34" s="182" t="n">
        <f aca="false">AB13</f>
        <v>7367.73274887688</v>
      </c>
      <c r="AC34" s="182" t="n">
        <f aca="false">AC13</f>
        <v>7387.23299072878</v>
      </c>
      <c r="AD34" s="182" t="n">
        <f aca="false">AD13</f>
        <v>7403.60460819448</v>
      </c>
      <c r="AE34" s="182" t="n">
        <f aca="false">AE13</f>
        <v>7416.75374254244</v>
      </c>
      <c r="AF34" s="182" t="n">
        <f aca="false">AF13</f>
        <v>12357.5487192791</v>
      </c>
    </row>
    <row r="35" customFormat="false" ht="12.75" hidden="false" customHeight="false" outlineLevel="0" collapsed="false">
      <c r="A35" s="540" t="s">
        <v>386</v>
      </c>
      <c r="B35" s="182" t="n">
        <f aca="false">B14</f>
        <v>2559.67333333333</v>
      </c>
      <c r="C35" s="182" t="n">
        <f aca="false">C14</f>
        <v>5483.165</v>
      </c>
      <c r="D35" s="182" t="n">
        <f aca="false">D14</f>
        <v>5483.165</v>
      </c>
      <c r="E35" s="182" t="n">
        <f aca="false">E14</f>
        <v>5483.165</v>
      </c>
      <c r="F35" s="182" t="n">
        <f aca="false">F14</f>
        <v>5483.165</v>
      </c>
      <c r="G35" s="182" t="n">
        <f aca="false">G14</f>
        <v>5483.165</v>
      </c>
      <c r="H35" s="182" t="n">
        <f aca="false">H14</f>
        <v>5483.165</v>
      </c>
      <c r="I35" s="182" t="n">
        <f aca="false">I14</f>
        <v>5483.165</v>
      </c>
      <c r="J35" s="182" t="n">
        <f aca="false">J14</f>
        <v>5483.165</v>
      </c>
      <c r="K35" s="182" t="n">
        <f aca="false">K14</f>
        <v>5483.165</v>
      </c>
      <c r="L35" s="182" t="n">
        <f aca="false">L14</f>
        <v>5483.165</v>
      </c>
      <c r="M35" s="182" t="n">
        <f aca="false">M14</f>
        <v>5483.165</v>
      </c>
      <c r="N35" s="182" t="n">
        <f aca="false">N14</f>
        <v>5483.165</v>
      </c>
      <c r="O35" s="182" t="n">
        <f aca="false">O14</f>
        <v>5483.165</v>
      </c>
      <c r="P35" s="182" t="n">
        <f aca="false">P14</f>
        <v>5483.165</v>
      </c>
      <c r="Q35" s="182" t="n">
        <f aca="false">Q14</f>
        <v>5483.165</v>
      </c>
      <c r="R35" s="182" t="n">
        <f aca="false">R14</f>
        <v>5483.165</v>
      </c>
      <c r="S35" s="182" t="n">
        <f aca="false">S14</f>
        <v>5483.165</v>
      </c>
      <c r="T35" s="182" t="n">
        <f aca="false">T14</f>
        <v>5483.165</v>
      </c>
      <c r="U35" s="182" t="n">
        <f aca="false">U14</f>
        <v>5483.165</v>
      </c>
      <c r="V35" s="182" t="n">
        <f aca="false">V14</f>
        <v>5115.03166666667</v>
      </c>
      <c r="W35" s="182" t="n">
        <f aca="false">W14</f>
        <v>4930.965</v>
      </c>
      <c r="X35" s="182" t="n">
        <f aca="false">X14</f>
        <v>4930.965</v>
      </c>
      <c r="Y35" s="182" t="n">
        <f aca="false">Y14</f>
        <v>4930.965</v>
      </c>
      <c r="Z35" s="182" t="n">
        <f aca="false">Z14</f>
        <v>4930.965</v>
      </c>
      <c r="AA35" s="182" t="n">
        <f aca="false">AA14</f>
        <v>4930.965</v>
      </c>
      <c r="AB35" s="182" t="n">
        <f aca="false">AB14</f>
        <v>4930.965</v>
      </c>
      <c r="AC35" s="182" t="n">
        <f aca="false">AC14</f>
        <v>4930.965</v>
      </c>
      <c r="AD35" s="182" t="n">
        <f aca="false">AD14</f>
        <v>4930.965</v>
      </c>
      <c r="AE35" s="182" t="n">
        <f aca="false">AE14</f>
        <v>4930.965</v>
      </c>
      <c r="AF35" s="182" t="n">
        <f aca="false">AF14</f>
        <v>0</v>
      </c>
    </row>
    <row r="36" customFormat="false" ht="12.75" hidden="false" customHeight="false" outlineLevel="0" collapsed="false">
      <c r="A36" s="540" t="s">
        <v>400</v>
      </c>
      <c r="B36" s="182" t="n">
        <f aca="false">-Depreciation!D19</f>
        <v>-5846.98333333333</v>
      </c>
      <c r="C36" s="182" t="n">
        <f aca="false">-Depreciation!E19</f>
        <v>-10962.015</v>
      </c>
      <c r="D36" s="182" t="n">
        <f aca="false">-Depreciation!F19</f>
        <v>-9921.0335</v>
      </c>
      <c r="E36" s="182" t="n">
        <f aca="false">-Depreciation!G19</f>
        <v>-8989.629</v>
      </c>
      <c r="F36" s="182" t="n">
        <f aca="false">-Depreciation!H19</f>
        <v>-8145.8861</v>
      </c>
      <c r="G36" s="182" t="n">
        <f aca="false">-Depreciation!I19</f>
        <v>-7378.8471</v>
      </c>
      <c r="H36" s="182" t="n">
        <f aca="false">-Depreciation!J19</f>
        <v>-7017.243</v>
      </c>
      <c r="I36" s="182" t="n">
        <f aca="false">-Depreciation!K19</f>
        <v>-7028.2007</v>
      </c>
      <c r="J36" s="182" t="n">
        <f aca="false">-Depreciation!L19</f>
        <v>-7017.243</v>
      </c>
      <c r="K36" s="182" t="n">
        <f aca="false">-Depreciation!M19</f>
        <v>-7028.2007</v>
      </c>
      <c r="L36" s="182" t="n">
        <f aca="false">-Depreciation!N19</f>
        <v>-7017.243</v>
      </c>
      <c r="M36" s="182" t="n">
        <f aca="false">-Depreciation!O19</f>
        <v>-7028.2007</v>
      </c>
      <c r="N36" s="182" t="n">
        <f aca="false">-Depreciation!P19</f>
        <v>-7017.243</v>
      </c>
      <c r="O36" s="182" t="n">
        <f aca="false">-Depreciation!Q19</f>
        <v>-7028.2007</v>
      </c>
      <c r="P36" s="182" t="n">
        <f aca="false">-Depreciation!R19</f>
        <v>-7017.243</v>
      </c>
      <c r="Q36" s="182" t="n">
        <f aca="false">-Depreciation!S19</f>
        <v>-3784.7215</v>
      </c>
      <c r="R36" s="182" t="n">
        <f aca="false">-Depreciation!T19</f>
        <v>-552.2</v>
      </c>
      <c r="S36" s="182" t="n">
        <f aca="false">-Depreciation!U19</f>
        <v>-552.2</v>
      </c>
      <c r="T36" s="182" t="n">
        <f aca="false">-Depreciation!V19</f>
        <v>-552.2</v>
      </c>
      <c r="U36" s="182" t="n">
        <f aca="false">-Depreciation!W19</f>
        <v>-552.2</v>
      </c>
      <c r="V36" s="182" t="n">
        <f aca="false">-Depreciation!X19</f>
        <v>-184.066666666667</v>
      </c>
      <c r="W36" s="182" t="n">
        <f aca="false">-Depreciation!Y19</f>
        <v>-0</v>
      </c>
      <c r="X36" s="182" t="n">
        <f aca="false">-Depreciation!Z19</f>
        <v>-0</v>
      </c>
      <c r="Y36" s="182" t="n">
        <f aca="false">-Depreciation!AA19</f>
        <v>-0</v>
      </c>
      <c r="Z36" s="182" t="n">
        <f aca="false">-Depreciation!AB19</f>
        <v>-0</v>
      </c>
      <c r="AA36" s="182" t="n">
        <f aca="false">-Depreciation!AC19</f>
        <v>-0</v>
      </c>
      <c r="AB36" s="182" t="n">
        <f aca="false">-Depreciation!AD19</f>
        <v>-0</v>
      </c>
      <c r="AC36" s="182" t="n">
        <f aca="false">-Depreciation!AE19</f>
        <v>-0</v>
      </c>
      <c r="AD36" s="182" t="n">
        <f aca="false">-Depreciation!AF19</f>
        <v>-0</v>
      </c>
      <c r="AE36" s="182" t="n">
        <f aca="false">-Depreciation!AG19</f>
        <v>-0</v>
      </c>
      <c r="AF36" s="182" t="n">
        <f aca="false">-Depreciation!AH19</f>
        <v>-0</v>
      </c>
    </row>
    <row r="37" customFormat="false" ht="15" hidden="false" customHeight="false" outlineLevel="0" collapsed="false">
      <c r="A37" s="540" t="s">
        <v>401</v>
      </c>
      <c r="B37" s="568" t="n">
        <f aca="false">-B30</f>
        <v>-0</v>
      </c>
      <c r="C37" s="568" t="n">
        <f aca="false">-C30</f>
        <v>-0</v>
      </c>
      <c r="D37" s="568" t="n">
        <f aca="false">-D30</f>
        <v>-0</v>
      </c>
      <c r="E37" s="568" t="n">
        <f aca="false">-E30</f>
        <v>-0</v>
      </c>
      <c r="F37" s="568" t="n">
        <f aca="false">-F30</f>
        <v>-0</v>
      </c>
      <c r="G37" s="568" t="n">
        <f aca="false">-G30</f>
        <v>-0</v>
      </c>
      <c r="H37" s="568" t="n">
        <f aca="false">-H30</f>
        <v>-0</v>
      </c>
      <c r="I37" s="568" t="n">
        <f aca="false">-I30</f>
        <v>-0</v>
      </c>
      <c r="J37" s="568" t="n">
        <f aca="false">-J30</f>
        <v>-0</v>
      </c>
      <c r="K37" s="568" t="n">
        <f aca="false">-K30</f>
        <v>-0</v>
      </c>
      <c r="L37" s="568" t="n">
        <f aca="false">-L30</f>
        <v>-0</v>
      </c>
      <c r="M37" s="568" t="n">
        <f aca="false">-M30</f>
        <v>-0</v>
      </c>
      <c r="N37" s="568" t="n">
        <f aca="false">-N30</f>
        <v>-0</v>
      </c>
      <c r="O37" s="568" t="n">
        <f aca="false">-O30</f>
        <v>-0</v>
      </c>
      <c r="P37" s="568" t="n">
        <f aca="false">-P30</f>
        <v>-0</v>
      </c>
      <c r="Q37" s="568" t="n">
        <f aca="false">-Q30</f>
        <v>-0</v>
      </c>
      <c r="R37" s="568" t="n">
        <f aca="false">-R30</f>
        <v>-0</v>
      </c>
      <c r="S37" s="568" t="n">
        <f aca="false">-S30</f>
        <v>-0</v>
      </c>
      <c r="T37" s="568" t="n">
        <f aca="false">-T30</f>
        <v>-636.904763659489</v>
      </c>
      <c r="U37" s="568" t="n">
        <f aca="false">-U30</f>
        <v>-658.790080203417</v>
      </c>
      <c r="V37" s="568" t="n">
        <f aca="false">-V30</f>
        <v>-702.243162595452</v>
      </c>
      <c r="W37" s="568" t="n">
        <f aca="false">-W30</f>
        <v>-729.441915690105</v>
      </c>
      <c r="X37" s="568" t="n">
        <f aca="false">-X30</f>
        <v>-731.471621216458</v>
      </c>
      <c r="Y37" s="568" t="n">
        <f aca="false">-Y30</f>
        <v>-733.339400010099</v>
      </c>
      <c r="Z37" s="568" t="n">
        <f aca="false">-Z30</f>
        <v>-735.040394269046</v>
      </c>
      <c r="AA37" s="568" t="n">
        <f aca="false">-AA30</f>
        <v>-736.569600457258</v>
      </c>
      <c r="AB37" s="568" t="n">
        <f aca="false">-AB30</f>
        <v>-737.921864932613</v>
      </c>
      <c r="AC37" s="568" t="n">
        <f aca="false">-AC30</f>
        <v>-739.091879443727</v>
      </c>
      <c r="AD37" s="568" t="n">
        <f aca="false">-AD30</f>
        <v>-740.074176491669</v>
      </c>
      <c r="AE37" s="568" t="n">
        <f aca="false">-AE30</f>
        <v>-740.863124552546</v>
      </c>
      <c r="AF37" s="568" t="n">
        <f aca="false">-AF30</f>
        <v>-741.452923156747</v>
      </c>
    </row>
    <row r="38" customFormat="false" ht="12.75" hidden="false" customHeight="false" outlineLevel="0" collapsed="false">
      <c r="A38" s="569" t="s">
        <v>402</v>
      </c>
      <c r="B38" s="352" t="n">
        <f aca="false">SUM(B34:B37)</f>
        <v>-3418.55657671945</v>
      </c>
      <c r="C38" s="352" t="n">
        <f aca="false">SUM(C34:C37)</f>
        <v>-8587.00508483363</v>
      </c>
      <c r="D38" s="352" t="n">
        <f aca="false">SUM(D34:D37)</f>
        <v>-12989.0354847947</v>
      </c>
      <c r="E38" s="352" t="n">
        <f aca="false">SUM(E34:E37)</f>
        <v>-4994.77132492734</v>
      </c>
      <c r="F38" s="352" t="n">
        <f aca="false">SUM(F34:F37)</f>
        <v>-3392.60654411372</v>
      </c>
      <c r="G38" s="352" t="n">
        <f aca="false">SUM(G34:G37)</f>
        <v>-2206.5011381657</v>
      </c>
      <c r="H38" s="352" t="n">
        <f aca="false">SUM(H34:H37)</f>
        <v>-1429.38092814986</v>
      </c>
      <c r="I38" s="352" t="n">
        <f aca="false">SUM(I34:I37)</f>
        <v>-1028.68363484451</v>
      </c>
      <c r="J38" s="352" t="n">
        <f aca="false">SUM(J34:J37)</f>
        <v>-362.194855298702</v>
      </c>
      <c r="K38" s="352" t="n">
        <f aca="false">SUM(K34:K37)</f>
        <v>37.2271831604412</v>
      </c>
      <c r="L38" s="352" t="n">
        <f aca="false">SUM(L34:L37)</f>
        <v>717.069504382139</v>
      </c>
      <c r="M38" s="352" t="n">
        <f aca="false">SUM(M34:M37)</f>
        <v>1114.68541300117</v>
      </c>
      <c r="N38" s="352" t="n">
        <f aca="false">SUM(N34:N37)</f>
        <v>1808.22769825383</v>
      </c>
      <c r="O38" s="352" t="n">
        <f aca="false">SUM(O34:O37)</f>
        <v>2203.4466711425</v>
      </c>
      <c r="P38" s="352" t="n">
        <f aca="false">SUM(P34:P37)</f>
        <v>2614.82724603102</v>
      </c>
      <c r="Q38" s="352" t="n">
        <f aca="false">SUM(Q34:Q37)</f>
        <v>6241.58639277674</v>
      </c>
      <c r="R38" s="352" t="n">
        <f aca="false">SUM(R34:R37)</f>
        <v>9861.70817384665</v>
      </c>
      <c r="S38" s="352" t="n">
        <f aca="false">SUM(S34:S37)</f>
        <v>10242.1973901611</v>
      </c>
      <c r="T38" s="352" t="n">
        <f aca="false">SUM(T34:T37)</f>
        <v>9978.17463066532</v>
      </c>
      <c r="U38" s="352" t="n">
        <f aca="false">SUM(U34:U37)</f>
        <v>10321.0445898535</v>
      </c>
      <c r="V38" s="352" t="n">
        <f aca="false">SUM(V34:V37)</f>
        <v>11001.8095473287</v>
      </c>
      <c r="W38" s="352" t="n">
        <f aca="false">SUM(W34:W37)</f>
        <v>11427.9233458116</v>
      </c>
      <c r="X38" s="352" t="n">
        <f aca="false">SUM(X34:X37)</f>
        <v>11459.7220657245</v>
      </c>
      <c r="Y38" s="352" t="n">
        <f aca="false">SUM(Y34:Y37)</f>
        <v>11488.9839334916</v>
      </c>
      <c r="Z38" s="352" t="n">
        <f aca="false">SUM(Z34:Z37)</f>
        <v>11515.6328435484</v>
      </c>
      <c r="AA38" s="352" t="n">
        <f aca="false">SUM(AA34:AA37)</f>
        <v>11539.5904071637</v>
      </c>
      <c r="AB38" s="352" t="n">
        <f aca="false">SUM(AB34:AB37)</f>
        <v>11560.7758839443</v>
      </c>
      <c r="AC38" s="352" t="n">
        <f aca="false">SUM(AC34:AC37)</f>
        <v>11579.1061112851</v>
      </c>
      <c r="AD38" s="352" t="n">
        <f aca="false">SUM(AD34:AD37)</f>
        <v>11594.4954317028</v>
      </c>
      <c r="AE38" s="352" t="n">
        <f aca="false">SUM(AE34:AE37)</f>
        <v>11606.8556179899</v>
      </c>
      <c r="AF38" s="352" t="n">
        <f aca="false">SUM(AF34:AF37)</f>
        <v>11616.0957961224</v>
      </c>
    </row>
    <row r="39" customFormat="false" ht="12.75" hidden="false" customHeight="false" outlineLevel="0" collapsed="false">
      <c r="A39" s="569"/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2"/>
      <c r="AB39" s="352"/>
      <c r="AC39" s="352"/>
      <c r="AD39" s="352"/>
      <c r="AE39" s="352"/>
      <c r="AF39" s="352"/>
    </row>
    <row r="40" customFormat="false" ht="12.75" hidden="false" customHeight="false" outlineLevel="0" collapsed="false">
      <c r="A40" s="540" t="s">
        <v>403</v>
      </c>
      <c r="B40" s="576" t="n">
        <f aca="false">Assumptions!$O$55</f>
        <v>0.35</v>
      </c>
      <c r="C40" s="576" t="n">
        <f aca="false">Assumptions!$O$55</f>
        <v>0.35</v>
      </c>
      <c r="D40" s="576" t="n">
        <f aca="false">Assumptions!$O$55</f>
        <v>0.35</v>
      </c>
      <c r="E40" s="576" t="n">
        <f aca="false">Assumptions!$O$55</f>
        <v>0.35</v>
      </c>
      <c r="F40" s="576" t="n">
        <f aca="false">Assumptions!$O$55</f>
        <v>0.35</v>
      </c>
      <c r="G40" s="576" t="n">
        <f aca="false">Assumptions!$O$55</f>
        <v>0.35</v>
      </c>
      <c r="H40" s="576" t="n">
        <f aca="false">Assumptions!$O$55</f>
        <v>0.35</v>
      </c>
      <c r="I40" s="576" t="n">
        <f aca="false">Assumptions!$O$55</f>
        <v>0.35</v>
      </c>
      <c r="J40" s="576" t="n">
        <f aca="false">Assumptions!$O$55</f>
        <v>0.35</v>
      </c>
      <c r="K40" s="576" t="n">
        <f aca="false">Assumptions!$O$55</f>
        <v>0.35</v>
      </c>
      <c r="L40" s="576" t="n">
        <f aca="false">Assumptions!$O$55</f>
        <v>0.35</v>
      </c>
      <c r="M40" s="576" t="n">
        <f aca="false">Assumptions!$O$55</f>
        <v>0.35</v>
      </c>
      <c r="N40" s="576" t="n">
        <f aca="false">Assumptions!$O$55</f>
        <v>0.35</v>
      </c>
      <c r="O40" s="576" t="n">
        <f aca="false">Assumptions!$O$55</f>
        <v>0.35</v>
      </c>
      <c r="P40" s="576" t="n">
        <f aca="false">Assumptions!$O$55</f>
        <v>0.35</v>
      </c>
      <c r="Q40" s="576" t="n">
        <f aca="false">Assumptions!$O$55</f>
        <v>0.35</v>
      </c>
      <c r="R40" s="576" t="n">
        <f aca="false">Assumptions!$O$55</f>
        <v>0.35</v>
      </c>
      <c r="S40" s="576" t="n">
        <f aca="false">Assumptions!$O$55</f>
        <v>0.35</v>
      </c>
      <c r="T40" s="576" t="n">
        <f aca="false">Assumptions!$O$55</f>
        <v>0.35</v>
      </c>
      <c r="U40" s="576" t="n">
        <f aca="false">Assumptions!$O$55</f>
        <v>0.35</v>
      </c>
      <c r="V40" s="576" t="n">
        <f aca="false">Assumptions!$O$55</f>
        <v>0.35</v>
      </c>
      <c r="W40" s="576" t="n">
        <f aca="false">Assumptions!$O$55</f>
        <v>0.35</v>
      </c>
      <c r="X40" s="576" t="n">
        <f aca="false">Assumptions!$O$55</f>
        <v>0.35</v>
      </c>
      <c r="Y40" s="576" t="n">
        <f aca="false">Assumptions!$O$55</f>
        <v>0.35</v>
      </c>
      <c r="Z40" s="576" t="n">
        <f aca="false">Assumptions!$O$55</f>
        <v>0.35</v>
      </c>
      <c r="AA40" s="576" t="n">
        <f aca="false">Assumptions!$O$55</f>
        <v>0.35</v>
      </c>
      <c r="AB40" s="576" t="n">
        <f aca="false">Assumptions!$O$55</f>
        <v>0.35</v>
      </c>
      <c r="AC40" s="576" t="n">
        <f aca="false">Assumptions!$O$55</f>
        <v>0.35</v>
      </c>
      <c r="AD40" s="576" t="n">
        <f aca="false">Assumptions!$O$55</f>
        <v>0.35</v>
      </c>
      <c r="AE40" s="576" t="n">
        <f aca="false">Assumptions!$O$55</f>
        <v>0.35</v>
      </c>
      <c r="AF40" s="576" t="n">
        <f aca="false">Assumptions!$O$55</f>
        <v>0.35</v>
      </c>
    </row>
    <row r="41" customFormat="false" ht="12.75" hidden="false" customHeight="false" outlineLevel="0" collapsed="false">
      <c r="A41" s="540" t="s">
        <v>404</v>
      </c>
      <c r="B41" s="577" t="n">
        <f aca="false">B38*B40</f>
        <v>-1196.49480185181</v>
      </c>
      <c r="C41" s="578" t="n">
        <f aca="false">C38*C40</f>
        <v>-3005.45177969177</v>
      </c>
      <c r="D41" s="578" t="n">
        <f aca="false">D38*D40</f>
        <v>-4546.16241967816</v>
      </c>
      <c r="E41" s="578" t="n">
        <f aca="false">E38*E40</f>
        <v>-1748.16996372457</v>
      </c>
      <c r="F41" s="578" t="n">
        <f aca="false">F38*F40</f>
        <v>-1187.4122904398</v>
      </c>
      <c r="G41" s="578" t="n">
        <f aca="false">G38*G40</f>
        <v>-772.275398357996</v>
      </c>
      <c r="H41" s="578" t="n">
        <f aca="false">H38*H40</f>
        <v>-500.283324852451</v>
      </c>
      <c r="I41" s="578" t="n">
        <f aca="false">I38*I40</f>
        <v>-360.039272195577</v>
      </c>
      <c r="J41" s="578" t="n">
        <f aca="false">J38*J40</f>
        <v>-126.768199354546</v>
      </c>
      <c r="K41" s="578" t="n">
        <f aca="false">K38*K40</f>
        <v>13.0295141061544</v>
      </c>
      <c r="L41" s="579" t="n">
        <f aca="false">L38*L40</f>
        <v>250.974326533749</v>
      </c>
      <c r="M41" s="577" t="n">
        <f aca="false">M38*M40</f>
        <v>390.139894550408</v>
      </c>
      <c r="N41" s="578" t="n">
        <f aca="false">N38*N40</f>
        <v>632.879694388842</v>
      </c>
      <c r="O41" s="578" t="n">
        <f aca="false">O38*O40</f>
        <v>771.206334899875</v>
      </c>
      <c r="P41" s="578" t="n">
        <f aca="false">P38*P40</f>
        <v>915.189536110856</v>
      </c>
      <c r="Q41" s="578" t="n">
        <f aca="false">Q38*Q40</f>
        <v>2184.55523747186</v>
      </c>
      <c r="R41" s="578" t="n">
        <f aca="false">R38*R40</f>
        <v>3451.59786084633</v>
      </c>
      <c r="S41" s="578" t="n">
        <f aca="false">S38*S40</f>
        <v>3584.76908655639</v>
      </c>
      <c r="T41" s="578" t="n">
        <f aca="false">T38*T40</f>
        <v>3492.36112073286</v>
      </c>
      <c r="U41" s="578" t="n">
        <f aca="false">U38*U40</f>
        <v>3612.36560644874</v>
      </c>
      <c r="V41" s="578" t="n">
        <f aca="false">V38*V40</f>
        <v>3850.63334156506</v>
      </c>
      <c r="W41" s="578" t="n">
        <f aca="false">W38*W40</f>
        <v>3999.77317103407</v>
      </c>
      <c r="X41" s="578" t="n">
        <f aca="false">X38*X40</f>
        <v>4010.90272300358</v>
      </c>
      <c r="Y41" s="578" t="n">
        <f aca="false">Y38*Y40</f>
        <v>4021.14437672205</v>
      </c>
      <c r="Z41" s="578" t="n">
        <f aca="false">Z38*Z40</f>
        <v>4030.47149524194</v>
      </c>
      <c r="AA41" s="578" t="n">
        <f aca="false">AA38*AA40</f>
        <v>4038.8566425073</v>
      </c>
      <c r="AB41" s="578" t="n">
        <f aca="false">AB38*AB40</f>
        <v>4046.2715593805</v>
      </c>
      <c r="AC41" s="578" t="n">
        <f aca="false">AC38*AC40</f>
        <v>4052.68713894977</v>
      </c>
      <c r="AD41" s="578" t="n">
        <f aca="false">AD38*AD40</f>
        <v>4058.07340109598</v>
      </c>
      <c r="AE41" s="578" t="n">
        <f aca="false">AE38*AE40</f>
        <v>4062.39946629646</v>
      </c>
      <c r="AF41" s="578" t="n">
        <f aca="false">AF38*AF40</f>
        <v>4065.63352864283</v>
      </c>
    </row>
    <row r="42" customFormat="false" ht="12.75" hidden="false" customHeight="false" outlineLevel="0" collapsed="false">
      <c r="A42" s="39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</row>
    <row r="43" customFormat="false" ht="12.75" hidden="false" customHeight="false" outlineLevel="0" collapsed="false">
      <c r="A43" s="39" t="s">
        <v>405</v>
      </c>
      <c r="B43" s="182" t="n">
        <f aca="false">IF(B41&lt;0,-B41,0)</f>
        <v>1196.49480185181</v>
      </c>
      <c r="C43" s="182" t="n">
        <f aca="false">IF(C41&lt;0,-C41+B43-B44,B43-B44)</f>
        <v>4201.94658154358</v>
      </c>
      <c r="D43" s="182" t="n">
        <f aca="false">IF(D41&lt;0,-D41+C43-C44,C43-C44)</f>
        <v>8748.10900122173</v>
      </c>
      <c r="E43" s="182" t="n">
        <f aca="false">IF(E41&lt;0,-E41+D43-D44,D43-D44)</f>
        <v>10496.2789649463</v>
      </c>
      <c r="F43" s="182" t="n">
        <f aca="false">IF(F41&lt;0,-F41+E43-E44,E43-E44)</f>
        <v>11683.6912553861</v>
      </c>
      <c r="G43" s="182" t="n">
        <f aca="false">IF(G41&lt;0,-G41+F43-F44,F43-F44)</f>
        <v>12455.9666537441</v>
      </c>
      <c r="H43" s="182" t="n">
        <f aca="false">IF(H41&lt;0,-H41+G43-G44,G43-G44)</f>
        <v>12956.2499785966</v>
      </c>
      <c r="I43" s="182" t="n">
        <f aca="false">IF(I41&lt;0,-I41+H43-H44,H43-H44)</f>
        <v>13316.2892507921</v>
      </c>
      <c r="J43" s="182" t="n">
        <f aca="false">IF(J41&lt;0,-J41+I43-I44,I43-I44)</f>
        <v>13443.0574501467</v>
      </c>
      <c r="K43" s="182" t="n">
        <f aca="false">IF(K41&lt;0,-K41+J43-J44,J43-J44)</f>
        <v>13443.0574501467</v>
      </c>
      <c r="L43" s="182" t="n">
        <f aca="false">IF(L41&lt;0,-L41+K43-K44,K43-K44)</f>
        <v>13430.0279360405</v>
      </c>
      <c r="M43" s="182" t="n">
        <f aca="false">IF(M41&lt;0,-M41+L43-L44,L43-L44)</f>
        <v>13179.0536095068</v>
      </c>
      <c r="N43" s="182" t="n">
        <f aca="false">IF(N41&lt;0,-N41+M43-M44,M43-M44)</f>
        <v>12788.9137149564</v>
      </c>
      <c r="O43" s="182" t="n">
        <f aca="false">IF(O41&lt;0,-O41+N43-N44,N43-N44)</f>
        <v>12156.0340205675</v>
      </c>
      <c r="P43" s="182" t="n">
        <f aca="false">IF(P41&lt;0,-P41+O43-O44,O43-O44)</f>
        <v>11384.8276856676</v>
      </c>
      <c r="Q43" s="182" t="n">
        <f aca="false">IF(Q41&lt;0,-Q41+P43-P44,P43-P44)</f>
        <v>10469.6381495568</v>
      </c>
      <c r="R43" s="182" t="n">
        <f aca="false">IF(R41&lt;0,-R41+Q43-Q44,Q43-Q44)</f>
        <v>8285.08291208493</v>
      </c>
      <c r="S43" s="182" t="n">
        <f aca="false">IF(S41&lt;0,-S41+R43-R44,R43-R44)</f>
        <v>4833.4850512386</v>
      </c>
      <c r="T43" s="182" t="n">
        <f aca="false">IF(T41&lt;0,-T41+S43-S44,S43-S44)</f>
        <v>1248.71596468221</v>
      </c>
      <c r="U43" s="182" t="n">
        <f aca="false">IF(U41&lt;0,-U41+T43-T44,T43-T44)</f>
        <v>0</v>
      </c>
      <c r="V43" s="182" t="n">
        <f aca="false">IF(V41&lt;0,-V41+U43-U44,U43-U44)</f>
        <v>0</v>
      </c>
      <c r="W43" s="182" t="n">
        <f aca="false">IF(W41&lt;0,-W41+V43-V44,V43-V44)</f>
        <v>0</v>
      </c>
      <c r="X43" s="182" t="n">
        <f aca="false">IF(X41&lt;0,-X41+W43-W44,W43-W44)</f>
        <v>0</v>
      </c>
      <c r="Y43" s="182" t="n">
        <f aca="false">IF(Y41&lt;0,-Y41+X43-X44,X43-X44)</f>
        <v>0</v>
      </c>
      <c r="Z43" s="182" t="n">
        <f aca="false">IF(Z41&lt;0,-Z41+Y43-Y44,Y43-Y44)</f>
        <v>0</v>
      </c>
      <c r="AA43" s="182" t="n">
        <f aca="false">IF(AA41&lt;0,-AA41+Z43-Z44,Z43-Z44)</f>
        <v>0</v>
      </c>
      <c r="AB43" s="182" t="n">
        <f aca="false">IF(AB41&lt;0,-AB41+AA43-AA44,AA43-AA44)</f>
        <v>0</v>
      </c>
      <c r="AC43" s="182" t="n">
        <f aca="false">IF(AC41&lt;0,-AC41+AB43-AB44,AB43-AB44)</f>
        <v>0</v>
      </c>
      <c r="AD43" s="182" t="n">
        <f aca="false">IF(AD41&lt;0,-AD41+AC43-AC44,AC43-AC44)</f>
        <v>0</v>
      </c>
      <c r="AE43" s="182" t="n">
        <f aca="false">IF(AE41&lt;0,-AE41+AD43-AD44,AD43-AD44)</f>
        <v>0</v>
      </c>
      <c r="AF43" s="182" t="n">
        <f aca="false">IF(AF41&lt;0,-AF41+AE43-AE44,AE43-AE44)</f>
        <v>0</v>
      </c>
    </row>
    <row r="44" customFormat="false" ht="12.75" hidden="false" customHeight="false" outlineLevel="0" collapsed="false">
      <c r="A44" s="39" t="s">
        <v>394</v>
      </c>
      <c r="B44" s="182" t="n">
        <v>0</v>
      </c>
      <c r="C44" s="182" t="n">
        <f aca="false">IF(C41&lt;0,0,IF(C43&gt;C41,C41,C43))</f>
        <v>0</v>
      </c>
      <c r="D44" s="182" t="n">
        <f aca="false">IF(D41&lt;0,0,IF(D43&gt;D41,D41,D43))</f>
        <v>0</v>
      </c>
      <c r="E44" s="182" t="n">
        <f aca="false">IF(E41&lt;0,0,IF(E43&gt;E41,E41,E43))</f>
        <v>0</v>
      </c>
      <c r="F44" s="182" t="n">
        <f aca="false">IF(F41&lt;0,0,IF(F43&gt;F41,F41,F43))</f>
        <v>0</v>
      </c>
      <c r="G44" s="182" t="n">
        <f aca="false">IF(G41&lt;0,0,IF(G43&gt;G41,G41,G43))</f>
        <v>0</v>
      </c>
      <c r="H44" s="182" t="n">
        <f aca="false">IF(H41&lt;0,0,IF(H43&gt;H41,H41,H43))</f>
        <v>0</v>
      </c>
      <c r="I44" s="182" t="n">
        <f aca="false">IF(I41&lt;0,0,IF(I43&gt;I41,I41,I43))</f>
        <v>0</v>
      </c>
      <c r="J44" s="182" t="n">
        <f aca="false">IF(J41&lt;0,0,IF(J43&gt;J41,J41,J43))</f>
        <v>0</v>
      </c>
      <c r="K44" s="182" t="n">
        <f aca="false">IF(K41&lt;0,0,IF(K43&gt;K41,K41,K43))</f>
        <v>13.0295141061544</v>
      </c>
      <c r="L44" s="182" t="n">
        <f aca="false">IF(L41&lt;0,0,IF(L43&gt;L41,L41,L43))</f>
        <v>250.974326533749</v>
      </c>
      <c r="M44" s="182" t="n">
        <f aca="false">IF(M41&lt;0,0,IF(M43&gt;M41,M41,M43))</f>
        <v>390.139894550408</v>
      </c>
      <c r="N44" s="182" t="n">
        <f aca="false">IF(N41&lt;0,0,IF(N43&gt;N41,N41,N43))</f>
        <v>632.879694388842</v>
      </c>
      <c r="O44" s="182" t="n">
        <f aca="false">IF(O41&lt;0,0,IF(O43&gt;O41,O41,O43))</f>
        <v>771.206334899875</v>
      </c>
      <c r="P44" s="182" t="n">
        <f aca="false">IF(P41&lt;0,0,IF(P43&gt;P41,P41,P43))</f>
        <v>915.189536110856</v>
      </c>
      <c r="Q44" s="182" t="n">
        <f aca="false">IF(Q41&lt;0,0,IF(Q43&gt;Q41,Q41,Q43))</f>
        <v>2184.55523747186</v>
      </c>
      <c r="R44" s="182" t="n">
        <f aca="false">IF(R41&lt;0,0,IF(R43&gt;R41,R41,R43))</f>
        <v>3451.59786084633</v>
      </c>
      <c r="S44" s="182" t="n">
        <f aca="false">IF(S41&lt;0,0,IF(S43&gt;S41,S41,S43))</f>
        <v>3584.76908655639</v>
      </c>
      <c r="T44" s="182" t="n">
        <f aca="false">IF(T41&lt;0,0,IF(T43&gt;T41,T41,T43))</f>
        <v>1248.71596468221</v>
      </c>
      <c r="U44" s="182" t="n">
        <f aca="false">IF(U41&lt;0,0,IF(U43&gt;U41,U41,U43))</f>
        <v>0</v>
      </c>
      <c r="V44" s="182" t="n">
        <f aca="false">IF(V41&lt;0,0,IF(V43&gt;V41,V41,V43))</f>
        <v>0</v>
      </c>
      <c r="W44" s="182" t="n">
        <f aca="false">IF(W41&lt;0,0,IF(W43&gt;W41,W41,W43))</f>
        <v>0</v>
      </c>
      <c r="X44" s="182" t="n">
        <f aca="false">IF(X41&lt;0,0,IF(X43&gt;X41,X41,X43))</f>
        <v>0</v>
      </c>
      <c r="Y44" s="182" t="n">
        <f aca="false">IF(Y41&lt;0,0,IF(Y43&gt;Y41,Y41,Y43))</f>
        <v>0</v>
      </c>
      <c r="Z44" s="182" t="n">
        <f aca="false">IF(Z41&lt;0,0,IF(Z43&gt;Z41,Z41,Z43))</f>
        <v>0</v>
      </c>
      <c r="AA44" s="182" t="n">
        <f aca="false">IF(AA41&lt;0,0,IF(AA43&gt;AA41,AA41,AA43))</f>
        <v>0</v>
      </c>
      <c r="AB44" s="182" t="n">
        <f aca="false">IF(AB41&lt;0,0,IF(AB43&gt;AB41,AB41,AB43))</f>
        <v>0</v>
      </c>
      <c r="AC44" s="182" t="n">
        <f aca="false">IF(AC41&lt;0,0,IF(AC43&gt;AC41,AC41,AC43))</f>
        <v>0</v>
      </c>
      <c r="AD44" s="182" t="n">
        <f aca="false">IF(AD41&lt;0,0,IF(AD43&gt;AD41,AD41,AD43))</f>
        <v>0</v>
      </c>
      <c r="AE44" s="182" t="n">
        <f aca="false">IF(AE41&lt;0,0,IF(AE43&gt;AE41,AE41,AE43))</f>
        <v>0</v>
      </c>
      <c r="AF44" s="182" t="n">
        <f aca="false">IF(AF41&lt;0,0,IF(AF43&gt;AF41,AF41,AF43))</f>
        <v>0</v>
      </c>
    </row>
    <row r="45" customFormat="false" ht="12.75" hidden="false" customHeight="false" outlineLevel="0" collapsed="false">
      <c r="A45" s="39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</row>
    <row r="46" customFormat="false" ht="12.75" hidden="false" customHeight="false" outlineLevel="0" collapsed="false">
      <c r="A46" s="185" t="s">
        <v>406</v>
      </c>
      <c r="B46" s="352" t="n">
        <f aca="false">IF(B41&lt;0,0,(B41-B44))</f>
        <v>0</v>
      </c>
      <c r="C46" s="352" t="n">
        <f aca="false">IF(C41&lt;0,0,(C41-C44))</f>
        <v>0</v>
      </c>
      <c r="D46" s="352" t="n">
        <f aca="false">IF(D41&lt;0,0,(D41-D44))</f>
        <v>0</v>
      </c>
      <c r="E46" s="352" t="n">
        <f aca="false">IF(E41&lt;0,0,(E41-E44))</f>
        <v>0</v>
      </c>
      <c r="F46" s="352" t="n">
        <f aca="false">IF(F41&lt;0,0,(F41-F44))</f>
        <v>0</v>
      </c>
      <c r="G46" s="352" t="n">
        <f aca="false">IF(G41&lt;0,0,(G41-G44))</f>
        <v>0</v>
      </c>
      <c r="H46" s="352" t="n">
        <f aca="false">IF(H41&lt;0,0,(H41-H44))</f>
        <v>0</v>
      </c>
      <c r="I46" s="352" t="n">
        <f aca="false">IF(I41&lt;0,0,(I41-I44))</f>
        <v>0</v>
      </c>
      <c r="J46" s="352" t="n">
        <f aca="false">IF(J41&lt;0,0,(J41-J44))</f>
        <v>0</v>
      </c>
      <c r="K46" s="352" t="n">
        <f aca="false">IF(K41&lt;0,0,(K41-K44))</f>
        <v>0</v>
      </c>
      <c r="L46" s="352" t="n">
        <f aca="false">IF(L41&lt;0,0,(L41-L44))</f>
        <v>0</v>
      </c>
      <c r="M46" s="352" t="n">
        <f aca="false">IF(M41&lt;0,0,(M41-M44))</f>
        <v>0</v>
      </c>
      <c r="N46" s="352" t="n">
        <f aca="false">IF(N41&lt;0,0,(N41-N44))</f>
        <v>0</v>
      </c>
      <c r="O46" s="352" t="n">
        <f aca="false">IF(O41&lt;0,0,(O41-O44))</f>
        <v>0</v>
      </c>
      <c r="P46" s="352" t="n">
        <f aca="false">IF(P41&lt;0,0,(P41-P44))</f>
        <v>0</v>
      </c>
      <c r="Q46" s="352" t="n">
        <f aca="false">IF(Q41&lt;0,0,(Q41-Q44))</f>
        <v>0</v>
      </c>
      <c r="R46" s="352" t="n">
        <f aca="false">IF(R41&lt;0,0,(R41-R44))</f>
        <v>0</v>
      </c>
      <c r="S46" s="352" t="n">
        <f aca="false">IF(S41&lt;0,0,(S41-S44))</f>
        <v>0</v>
      </c>
      <c r="T46" s="352" t="n">
        <f aca="false">IF(T41&lt;0,0,(T41-T44))</f>
        <v>2243.64515605065</v>
      </c>
      <c r="U46" s="352" t="n">
        <f aca="false">IF(U41&lt;0,0,(U41-U44))</f>
        <v>3612.36560644874</v>
      </c>
      <c r="V46" s="352" t="n">
        <f aca="false">IF(V41&lt;0,0,(V41-V44))</f>
        <v>3850.63334156506</v>
      </c>
      <c r="W46" s="352" t="n">
        <f aca="false">IF(W41&lt;0,0,(W41-W44))</f>
        <v>3999.77317103407</v>
      </c>
      <c r="X46" s="352" t="n">
        <f aca="false">IF(X41&lt;0,0,(X41-X44))</f>
        <v>4010.90272300358</v>
      </c>
      <c r="Y46" s="352" t="n">
        <f aca="false">IF(Y41&lt;0,0,(Y41-Y44))</f>
        <v>4021.14437672205</v>
      </c>
      <c r="Z46" s="352" t="n">
        <f aca="false">IF(Z41&lt;0,0,(Z41-Z44))</f>
        <v>4030.47149524194</v>
      </c>
      <c r="AA46" s="352" t="n">
        <f aca="false">IF(AA41&lt;0,0,(AA41-AA44))</f>
        <v>4038.8566425073</v>
      </c>
      <c r="AB46" s="352" t="n">
        <f aca="false">IF(AB41&lt;0,0,(AB41-AB44))</f>
        <v>4046.2715593805</v>
      </c>
      <c r="AC46" s="352" t="n">
        <f aca="false">IF(AC41&lt;0,0,(AC41-AC44))</f>
        <v>4052.68713894977</v>
      </c>
      <c r="AD46" s="352" t="n">
        <f aca="false">IF(AD41&lt;0,0,(AD41-AD44))</f>
        <v>4058.07340109598</v>
      </c>
      <c r="AE46" s="352" t="n">
        <f aca="false">IF(AE41&lt;0,0,(AE41-AE44))</f>
        <v>4062.39946629646</v>
      </c>
      <c r="AF46" s="352" t="n">
        <f aca="false">IF(AF41&lt;0,0,(AF41-AF44))</f>
        <v>4065.63352864283</v>
      </c>
    </row>
    <row r="47" customFormat="false" ht="12.75" hidden="false" customHeight="false" outlineLevel="0" collapsed="false">
      <c r="A47" s="185"/>
      <c r="B47" s="352"/>
      <c r="C47" s="352"/>
      <c r="D47" s="352"/>
      <c r="E47" s="352"/>
      <c r="F47" s="352"/>
      <c r="G47" s="352"/>
      <c r="H47" s="352"/>
      <c r="I47" s="352"/>
      <c r="J47" s="352"/>
      <c r="K47" s="352"/>
      <c r="L47" s="352"/>
      <c r="M47" s="352"/>
      <c r="N47" s="352"/>
      <c r="O47" s="352"/>
      <c r="P47" s="352"/>
      <c r="Q47" s="352"/>
      <c r="R47" s="352"/>
      <c r="S47" s="352"/>
      <c r="T47" s="352"/>
      <c r="U47" s="352"/>
      <c r="V47" s="352"/>
      <c r="W47" s="352"/>
      <c r="X47" s="580"/>
      <c r="Y47" s="580"/>
    </row>
    <row r="48" customFormat="false" ht="12.75" hidden="false" customHeight="false" outlineLevel="0" collapsed="false">
      <c r="A48" s="0"/>
      <c r="B48" s="0"/>
      <c r="C48" s="556"/>
      <c r="D48" s="556"/>
      <c r="E48" s="556"/>
      <c r="F48" s="556"/>
      <c r="G48" s="556"/>
      <c r="H48" s="556"/>
      <c r="I48" s="556"/>
      <c r="J48" s="556"/>
      <c r="K48" s="556"/>
      <c r="L48" s="556"/>
      <c r="M48" s="556"/>
      <c r="N48" s="556"/>
      <c r="O48" s="556"/>
      <c r="P48" s="556"/>
      <c r="Q48" s="556"/>
      <c r="R48" s="556"/>
      <c r="S48" s="556"/>
      <c r="T48" s="556"/>
      <c r="U48" s="556"/>
      <c r="V48" s="556"/>
      <c r="W48" s="556"/>
      <c r="X48" s="556"/>
      <c r="Y48" s="556"/>
    </row>
    <row r="49" customFormat="false" ht="12.75" hidden="false" customHeight="false" outlineLevel="0" collapsed="false">
      <c r="A49" s="0"/>
      <c r="B49" s="0"/>
      <c r="X49" s="270"/>
      <c r="Y49" s="270"/>
    </row>
    <row r="50" customFormat="false" ht="12.75" hidden="false" customHeight="false" outlineLevel="0" collapsed="false">
      <c r="A50" s="0"/>
      <c r="B50" s="0"/>
      <c r="C50" s="304"/>
      <c r="X50" s="270"/>
      <c r="Y50" s="270"/>
    </row>
    <row r="51" customFormat="false" ht="12.75" hidden="false" customHeight="false" outlineLevel="0" collapsed="false">
      <c r="A51" s="0"/>
      <c r="B51" s="0"/>
      <c r="X51" s="270"/>
      <c r="Y51" s="270"/>
    </row>
    <row r="52" customFormat="false" ht="12.75" hidden="false" customHeight="false" outlineLevel="0" collapsed="false">
      <c r="X52" s="270"/>
      <c r="Y52" s="270"/>
    </row>
    <row r="53" customFormat="false" ht="12.75" hidden="false" customHeight="false" outlineLevel="0" collapsed="false">
      <c r="X53" s="270"/>
      <c r="Y53" s="270"/>
    </row>
    <row r="54" customFormat="false" ht="12.75" hidden="false" customHeight="false" outlineLevel="0" collapsed="false">
      <c r="X54" s="270"/>
      <c r="Y54" s="270"/>
    </row>
    <row r="55" customFormat="false" ht="12.75" hidden="false" customHeight="false" outlineLevel="0" collapsed="false">
      <c r="X55" s="270"/>
      <c r="Y55" s="270"/>
    </row>
    <row r="56" customFormat="false" ht="12.75" hidden="false" customHeight="false" outlineLevel="0" collapsed="false">
      <c r="X56" s="270"/>
      <c r="Y56" s="270"/>
    </row>
    <row r="57" customFormat="false" ht="12.75" hidden="false" customHeight="false" outlineLevel="0" collapsed="false">
      <c r="X57" s="270"/>
      <c r="Y57" s="270"/>
    </row>
    <row r="58" customFormat="false" ht="12.75" hidden="false" customHeight="false" outlineLevel="0" collapsed="false">
      <c r="X58" s="270"/>
      <c r="Y58" s="27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J17" activeCellId="0" sqref="J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10.13"/>
    <col collapsed="false" customWidth="true" hidden="false" outlineLevel="0" max="3" min="3" style="0" width="13.56"/>
    <col collapsed="false" customWidth="true" hidden="false" outlineLevel="0" max="4" min="4" style="0" width="14.85"/>
    <col collapsed="false" customWidth="true" hidden="false" outlineLevel="0" max="5" min="5" style="0" width="11.28"/>
    <col collapsed="false" customWidth="true" hidden="false" outlineLevel="0" max="6" min="6" style="0" width="14.85"/>
    <col collapsed="false" customWidth="true" hidden="false" outlineLevel="0" max="7" min="7" style="0" width="16.42"/>
    <col collapsed="false" customWidth="true" hidden="false" outlineLevel="0" max="9" min="9" style="0" width="14.99"/>
    <col collapsed="false" customWidth="true" hidden="false" outlineLevel="0" max="10" min="10" style="0" width="14.14"/>
    <col collapsed="false" customWidth="true" hidden="false" outlineLevel="0" max="11" min="11" style="0" width="10.99"/>
    <col collapsed="false" customWidth="true" hidden="false" outlineLevel="0" max="12" min="12" style="0" width="12.28"/>
    <col collapsed="false" customWidth="true" hidden="false" outlineLevel="0" max="13" min="13" style="0" width="10.56"/>
    <col collapsed="false" customWidth="true" hidden="false" outlineLevel="0" max="14" min="14" style="0" width="15.56"/>
    <col collapsed="false" customWidth="true" hidden="false" outlineLevel="0" max="15" min="15" style="0" width="14.85"/>
    <col collapsed="false" customWidth="true" hidden="false" outlineLevel="0" max="16" min="16" style="0" width="25.85"/>
    <col collapsed="false" customWidth="true" hidden="false" outlineLevel="0" max="17" min="17" style="0" width="19.85"/>
  </cols>
  <sheetData>
    <row r="1" customFormat="false" ht="23.25" hidden="false" customHeight="false" outlineLevel="0" collapsed="false">
      <c r="A1" s="581" t="s">
        <v>407</v>
      </c>
    </row>
    <row r="3" customFormat="false" ht="13.5" hidden="false" customHeight="false" outlineLevel="0" collapsed="false"/>
    <row r="4" customFormat="false" ht="12.75" hidden="false" customHeight="false" outlineLevel="0" collapsed="false">
      <c r="A4" s="582"/>
      <c r="B4" s="583" t="s">
        <v>408</v>
      </c>
      <c r="C4" s="583"/>
      <c r="D4" s="583"/>
      <c r="E4" s="582"/>
      <c r="F4" s="584"/>
      <c r="G4" s="585"/>
      <c r="H4" s="584"/>
      <c r="I4" s="584"/>
      <c r="J4" s="585"/>
      <c r="K4" s="583" t="s">
        <v>44</v>
      </c>
      <c r="L4" s="583"/>
      <c r="M4" s="583"/>
      <c r="N4" s="584"/>
      <c r="O4" s="584"/>
      <c r="P4" s="586"/>
      <c r="Q4" s="587"/>
    </row>
    <row r="5" customFormat="false" ht="13.5" hidden="false" customHeight="false" outlineLevel="0" collapsed="false">
      <c r="A5" s="588" t="s">
        <v>127</v>
      </c>
      <c r="B5" s="588" t="s">
        <v>409</v>
      </c>
      <c r="C5" s="589" t="s">
        <v>410</v>
      </c>
      <c r="D5" s="590" t="s">
        <v>411</v>
      </c>
      <c r="E5" s="588" t="s">
        <v>412</v>
      </c>
      <c r="F5" s="589" t="s">
        <v>413</v>
      </c>
      <c r="G5" s="590" t="s">
        <v>414</v>
      </c>
      <c r="H5" s="589" t="s">
        <v>415</v>
      </c>
      <c r="I5" s="589" t="s">
        <v>413</v>
      </c>
      <c r="J5" s="590" t="s">
        <v>414</v>
      </c>
      <c r="K5" s="588" t="s">
        <v>104</v>
      </c>
      <c r="L5" s="589" t="s">
        <v>416</v>
      </c>
      <c r="M5" s="590" t="s">
        <v>417</v>
      </c>
      <c r="N5" s="589" t="s">
        <v>413</v>
      </c>
      <c r="O5" s="589" t="s">
        <v>414</v>
      </c>
      <c r="P5" s="591" t="s">
        <v>418</v>
      </c>
      <c r="Q5" s="592" t="s">
        <v>419</v>
      </c>
    </row>
    <row r="6" customFormat="false" ht="12.75" hidden="false" customHeight="false" outlineLevel="0" collapsed="false">
      <c r="A6" s="593" t="n">
        <v>2001</v>
      </c>
      <c r="B6" s="593" t="n">
        <v>0</v>
      </c>
      <c r="C6" s="594" t="n">
        <v>130</v>
      </c>
      <c r="D6" s="595" t="n">
        <v>15</v>
      </c>
      <c r="E6" s="596" t="n">
        <v>2.45</v>
      </c>
      <c r="F6" s="597" t="n">
        <f aca="false">(E6*6)/12</f>
        <v>1.225</v>
      </c>
      <c r="G6" s="598" t="n">
        <f aca="false">+F6*1000*D6*12</f>
        <v>220500</v>
      </c>
      <c r="H6" s="599" t="n">
        <v>3.45</v>
      </c>
      <c r="I6" s="597" t="n">
        <f aca="false">(H6*6)/12</f>
        <v>1.725</v>
      </c>
      <c r="J6" s="598" t="n">
        <f aca="false">+I6*1000*C6*12</f>
        <v>2691000</v>
      </c>
      <c r="K6" s="600" t="n">
        <v>5.03</v>
      </c>
      <c r="L6" s="601" t="n">
        <v>4.02</v>
      </c>
      <c r="M6" s="602" t="n">
        <v>1</v>
      </c>
      <c r="N6" s="601" t="n">
        <f aca="false">+(K6*8)/12</f>
        <v>3.35333333333333</v>
      </c>
      <c r="O6" s="603" t="n">
        <f aca="false">+N6*B6*1000*12</f>
        <v>0</v>
      </c>
      <c r="P6" s="604" t="n">
        <f aca="false">IF((J6+G6)&gt;O6,(J6+G6)-O6,0)</f>
        <v>2911500</v>
      </c>
      <c r="Q6" s="605" t="n">
        <f aca="false">(J6+G6)-P6</f>
        <v>0</v>
      </c>
    </row>
    <row r="7" customFormat="false" ht="12.75" hidden="false" customHeight="false" outlineLevel="0" collapsed="false">
      <c r="A7" s="593" t="n">
        <v>2002</v>
      </c>
      <c r="B7" s="593" t="n">
        <f aca="false">+B21*4</f>
        <v>194</v>
      </c>
      <c r="C7" s="594" t="n">
        <v>140</v>
      </c>
      <c r="D7" s="595" t="n">
        <v>30</v>
      </c>
      <c r="E7" s="596" t="n">
        <v>2.43</v>
      </c>
      <c r="F7" s="597" t="n">
        <f aca="false">(E7*6)/12</f>
        <v>1.215</v>
      </c>
      <c r="G7" s="598" t="n">
        <f aca="false">+F7*1000*D7*12</f>
        <v>437400</v>
      </c>
      <c r="H7" s="599" t="n">
        <v>3.43</v>
      </c>
      <c r="I7" s="597" t="n">
        <f aca="false">(H7*6)/12</f>
        <v>1.715</v>
      </c>
      <c r="J7" s="598" t="n">
        <f aca="false">+I7*1000*C7*12</f>
        <v>2881200</v>
      </c>
      <c r="K7" s="600" t="n">
        <v>3.92</v>
      </c>
      <c r="L7" s="601" t="n">
        <v>2.82</v>
      </c>
      <c r="M7" s="602" t="n">
        <v>1.1</v>
      </c>
      <c r="N7" s="601" t="n">
        <f aca="false">+(K7*8)/12</f>
        <v>2.61333333333333</v>
      </c>
      <c r="O7" s="603" t="n">
        <f aca="false">+N7*B7*1000*12</f>
        <v>6083840</v>
      </c>
      <c r="P7" s="606" t="n">
        <f aca="false">IF((J7+G7)&gt;O7,(J7+G7)-O7,0)</f>
        <v>0</v>
      </c>
      <c r="Q7" s="607" t="n">
        <f aca="false">(J7+G7)-P7</f>
        <v>3318600</v>
      </c>
    </row>
    <row r="8" customFormat="false" ht="12.75" hidden="false" customHeight="false" outlineLevel="0" collapsed="false">
      <c r="A8" s="593" t="n">
        <v>2003</v>
      </c>
      <c r="B8" s="593" t="n">
        <f aca="false">+B21*4</f>
        <v>194</v>
      </c>
      <c r="C8" s="594" t="n">
        <v>140</v>
      </c>
      <c r="D8" s="595" t="n">
        <v>30</v>
      </c>
      <c r="E8" s="596" t="n">
        <v>2.38</v>
      </c>
      <c r="F8" s="597" t="n">
        <f aca="false">(E8*6)/12</f>
        <v>1.19</v>
      </c>
      <c r="G8" s="598" t="n">
        <f aca="false">+F8*1000*D8*12</f>
        <v>428400</v>
      </c>
      <c r="H8" s="599" t="n">
        <v>3.38</v>
      </c>
      <c r="I8" s="597" t="n">
        <f aca="false">(H8*6)/12</f>
        <v>1.69</v>
      </c>
      <c r="J8" s="598" t="n">
        <f aca="false">+I8*1000*C8*12</f>
        <v>2839200</v>
      </c>
      <c r="K8" s="600" t="n">
        <v>3.95</v>
      </c>
      <c r="L8" s="601" t="n">
        <v>2.81</v>
      </c>
      <c r="M8" s="602" t="n">
        <v>1.14</v>
      </c>
      <c r="N8" s="601" t="n">
        <f aca="false">+(K8*8)/12</f>
        <v>2.63333333333333</v>
      </c>
      <c r="O8" s="603" t="n">
        <f aca="false">+N8*B8*1000*12</f>
        <v>6130400</v>
      </c>
      <c r="P8" s="606" t="n">
        <f aca="false">IF((J8+G8)&gt;O8,(J8+G8)-O8,0)</f>
        <v>0</v>
      </c>
      <c r="Q8" s="607" t="n">
        <f aca="false">(J8+G8)-P8</f>
        <v>3267600</v>
      </c>
    </row>
    <row r="9" customFormat="false" ht="12.75" hidden="false" customHeight="false" outlineLevel="0" collapsed="false">
      <c r="A9" s="593" t="n">
        <v>2004</v>
      </c>
      <c r="B9" s="593" t="n">
        <f aca="false">+B21*2</f>
        <v>97</v>
      </c>
      <c r="C9" s="594" t="n">
        <v>160</v>
      </c>
      <c r="D9" s="595" t="n">
        <v>0</v>
      </c>
      <c r="E9" s="596" t="n">
        <v>0</v>
      </c>
      <c r="F9" s="597" t="n">
        <f aca="false">(E9*6)/12</f>
        <v>0</v>
      </c>
      <c r="G9" s="598" t="n">
        <f aca="false">+F9*1000*D9*12</f>
        <v>0</v>
      </c>
      <c r="H9" s="599" t="n">
        <v>3.39</v>
      </c>
      <c r="I9" s="597" t="n">
        <f aca="false">(H9*6)/12</f>
        <v>1.695</v>
      </c>
      <c r="J9" s="598" t="n">
        <f aca="false">+I9*1000*C9*12</f>
        <v>3254400</v>
      </c>
      <c r="K9" s="600" t="n">
        <v>3.94</v>
      </c>
      <c r="L9" s="601" t="n">
        <v>2.77</v>
      </c>
      <c r="M9" s="602" t="n">
        <v>1.17</v>
      </c>
      <c r="N9" s="601" t="n">
        <f aca="false">+(K9*8)/12</f>
        <v>2.62666666666667</v>
      </c>
      <c r="O9" s="603" t="n">
        <f aca="false">+N9*B9*1000*12</f>
        <v>3057440</v>
      </c>
      <c r="P9" s="606" t="n">
        <f aca="false">IF((J9+G9)&gt;O9,(J9+G9)-O9,0)</f>
        <v>196960</v>
      </c>
      <c r="Q9" s="607" t="n">
        <f aca="false">(J9+G9)-P9</f>
        <v>3057440</v>
      </c>
    </row>
    <row r="10" customFormat="false" ht="12.75" hidden="false" customHeight="false" outlineLevel="0" collapsed="false">
      <c r="A10" s="593" t="n">
        <v>2005</v>
      </c>
      <c r="B10" s="593" t="n">
        <f aca="false">+B21</f>
        <v>48.5</v>
      </c>
      <c r="C10" s="594" t="n">
        <v>185</v>
      </c>
      <c r="D10" s="595" t="n">
        <v>0</v>
      </c>
      <c r="E10" s="596" t="n">
        <v>0</v>
      </c>
      <c r="F10" s="597" t="n">
        <f aca="false">(E10*6)/12</f>
        <v>0</v>
      </c>
      <c r="G10" s="598" t="n">
        <f aca="false">+F10*1000*D10*12</f>
        <v>0</v>
      </c>
      <c r="H10" s="599" t="n">
        <v>3.31</v>
      </c>
      <c r="I10" s="597" t="n">
        <f aca="false">(H10*6)/12</f>
        <v>1.655</v>
      </c>
      <c r="J10" s="598" t="n">
        <f aca="false">+I10*1000*C10*12</f>
        <v>3674100</v>
      </c>
      <c r="K10" s="600" t="n">
        <v>3.83</v>
      </c>
      <c r="L10" s="601" t="n">
        <v>2.69</v>
      </c>
      <c r="M10" s="602" t="n">
        <v>1.13</v>
      </c>
      <c r="N10" s="601" t="n">
        <f aca="false">+(K10*8)/12</f>
        <v>2.55333333333333</v>
      </c>
      <c r="O10" s="603" t="n">
        <f aca="false">+N10*B10*1000*12</f>
        <v>1486040</v>
      </c>
      <c r="P10" s="606" t="n">
        <f aca="false">IF((J10+G10)&gt;O10,(J10+G10)-O10,0)</f>
        <v>2188060</v>
      </c>
      <c r="Q10" s="607" t="n">
        <f aca="false">(J10+G10)-P10</f>
        <v>1486040</v>
      </c>
    </row>
    <row r="11" customFormat="false" ht="12.75" hidden="false" customHeight="false" outlineLevel="0" collapsed="false">
      <c r="A11" s="593" t="n">
        <v>2006</v>
      </c>
      <c r="B11" s="593" t="n">
        <v>0</v>
      </c>
      <c r="C11" s="594" t="n">
        <v>200</v>
      </c>
      <c r="D11" s="595" t="n">
        <v>0</v>
      </c>
      <c r="E11" s="596" t="n">
        <v>0</v>
      </c>
      <c r="F11" s="597" t="n">
        <f aca="false">(E11*6)/12</f>
        <v>0</v>
      </c>
      <c r="G11" s="598" t="n">
        <f aca="false">+F11*1000*D11*12</f>
        <v>0</v>
      </c>
      <c r="H11" s="599" t="n">
        <v>3.28</v>
      </c>
      <c r="I11" s="597" t="n">
        <f aca="false">(H11*6)/12</f>
        <v>1.64</v>
      </c>
      <c r="J11" s="598" t="n">
        <f aca="false">+I11*1000*C11*12</f>
        <v>3936000</v>
      </c>
      <c r="K11" s="600" t="n">
        <v>3.88</v>
      </c>
      <c r="L11" s="601" t="n">
        <v>2.74</v>
      </c>
      <c r="M11" s="602" t="n">
        <v>1.15</v>
      </c>
      <c r="N11" s="601" t="n">
        <f aca="false">+(K11*8)/12</f>
        <v>2.58666666666667</v>
      </c>
      <c r="O11" s="603" t="n">
        <f aca="false">+N11*B11*1000*12</f>
        <v>0</v>
      </c>
      <c r="P11" s="606" t="n">
        <f aca="false">IF((J11+G11)&gt;O11,(J11+G11)-O11,0)</f>
        <v>3936000</v>
      </c>
      <c r="Q11" s="607" t="n">
        <f aca="false">(J11+G11)-P11</f>
        <v>0</v>
      </c>
    </row>
    <row r="12" customFormat="false" ht="12.75" hidden="false" customHeight="false" outlineLevel="0" collapsed="false">
      <c r="A12" s="593" t="n">
        <v>2007</v>
      </c>
      <c r="B12" s="593" t="n">
        <v>0</v>
      </c>
      <c r="C12" s="594" t="n">
        <v>200</v>
      </c>
      <c r="D12" s="595" t="n">
        <v>0</v>
      </c>
      <c r="E12" s="596" t="n">
        <v>0</v>
      </c>
      <c r="F12" s="597" t="n">
        <f aca="false">(E12*6)/12</f>
        <v>0</v>
      </c>
      <c r="G12" s="598" t="n">
        <f aca="false">+F12*1000*D12*12</f>
        <v>0</v>
      </c>
      <c r="H12" s="599" t="n">
        <v>3.37</v>
      </c>
      <c r="I12" s="597" t="n">
        <f aca="false">(H12*6)/12</f>
        <v>1.685</v>
      </c>
      <c r="J12" s="598" t="n">
        <f aca="false">+I12*1000*C12*12</f>
        <v>4044000</v>
      </c>
      <c r="K12" s="600" t="n">
        <v>3.96</v>
      </c>
      <c r="L12" s="601" t="n">
        <v>2.79</v>
      </c>
      <c r="M12" s="602" t="n">
        <v>1.17</v>
      </c>
      <c r="N12" s="601" t="n">
        <f aca="false">+(K12*8)/12</f>
        <v>2.64</v>
      </c>
      <c r="O12" s="603" t="n">
        <f aca="false">+N12*B12*1000*12</f>
        <v>0</v>
      </c>
      <c r="P12" s="606" t="n">
        <f aca="false">IF((J12+G12)&gt;O12,(J12+G12)-O12,0)</f>
        <v>4044000</v>
      </c>
      <c r="Q12" s="607" t="n">
        <f aca="false">(J12+G12)-P12</f>
        <v>0</v>
      </c>
    </row>
    <row r="13" customFormat="false" ht="13.5" hidden="false" customHeight="false" outlineLevel="0" collapsed="false">
      <c r="A13" s="588" t="n">
        <v>2008</v>
      </c>
      <c r="B13" s="588" t="n">
        <v>0</v>
      </c>
      <c r="C13" s="589" t="n">
        <v>200</v>
      </c>
      <c r="D13" s="590" t="n">
        <v>0</v>
      </c>
      <c r="E13" s="608" t="n">
        <v>0</v>
      </c>
      <c r="F13" s="609" t="n">
        <f aca="false">(E13*6)/12</f>
        <v>0</v>
      </c>
      <c r="G13" s="610" t="n">
        <f aca="false">+F13*1000*D13*12</f>
        <v>0</v>
      </c>
      <c r="H13" s="611" t="n">
        <v>3.29</v>
      </c>
      <c r="I13" s="609" t="n">
        <f aca="false">(H13*6)/12</f>
        <v>1.645</v>
      </c>
      <c r="J13" s="610" t="n">
        <f aca="false">+I13*1000*C13*12</f>
        <v>3948000</v>
      </c>
      <c r="K13" s="612" t="n">
        <v>3.9</v>
      </c>
      <c r="L13" s="613" t="n">
        <v>2.8</v>
      </c>
      <c r="M13" s="614" t="n">
        <v>1.11</v>
      </c>
      <c r="N13" s="613" t="n">
        <f aca="false">+(K13*8)/12</f>
        <v>2.6</v>
      </c>
      <c r="O13" s="615" t="n">
        <f aca="false">+N13*B13*1000*12</f>
        <v>0</v>
      </c>
      <c r="P13" s="616" t="n">
        <f aca="false">IF((J13+G13)&gt;O13,(J13+G13)-O13,0)</f>
        <v>3948000</v>
      </c>
      <c r="Q13" s="617" t="n">
        <f aca="false">(J13+G13)-P13</f>
        <v>0</v>
      </c>
    </row>
    <row r="14" customFormat="false" ht="12.75" hidden="false" customHeight="false" outlineLevel="0" collapsed="false">
      <c r="P14" s="260"/>
      <c r="Q14" s="618"/>
    </row>
    <row r="15" customFormat="false" ht="12.75" hidden="false" customHeight="false" outlineLevel="0" collapsed="false">
      <c r="F15" s="321" t="s">
        <v>420</v>
      </c>
      <c r="G15" s="619" t="n">
        <f aca="false">SUM(G6:G13)</f>
        <v>1086300</v>
      </c>
      <c r="I15" s="321" t="s">
        <v>420</v>
      </c>
      <c r="J15" s="619" t="n">
        <f aca="false">SUM(J6:J13)</f>
        <v>27267900</v>
      </c>
      <c r="O15" s="321" t="s">
        <v>420</v>
      </c>
      <c r="P15" s="620" t="n">
        <f aca="false">SUM(P6:P13)</f>
        <v>17224520</v>
      </c>
      <c r="Q15" s="621" t="n">
        <f aca="false">SUM(Q6:Q13)</f>
        <v>11129680</v>
      </c>
    </row>
    <row r="16" customFormat="false" ht="12.75" hidden="false" customHeight="false" outlineLevel="0" collapsed="false">
      <c r="F16" s="321" t="s">
        <v>421</v>
      </c>
      <c r="G16" s="622" t="n">
        <v>0.0726</v>
      </c>
      <c r="H16" s="623"/>
      <c r="I16" s="321" t="s">
        <v>421</v>
      </c>
      <c r="J16" s="624" t="n">
        <f aca="false">G16</f>
        <v>0.0726</v>
      </c>
      <c r="O16" s="321" t="s">
        <v>421</v>
      </c>
      <c r="P16" s="624" t="n">
        <f aca="false">G16</f>
        <v>0.0726</v>
      </c>
      <c r="Q16" s="624" t="n">
        <f aca="false">G16</f>
        <v>0.0726</v>
      </c>
    </row>
    <row r="17" customFormat="false" ht="12.75" hidden="false" customHeight="false" outlineLevel="0" collapsed="false">
      <c r="F17" s="321" t="s">
        <v>422</v>
      </c>
      <c r="G17" s="625" t="n">
        <f aca="false">NPV(G16,G6:G13)</f>
        <v>932932.549313858</v>
      </c>
      <c r="I17" s="321" t="s">
        <v>422</v>
      </c>
      <c r="J17" s="625" t="n">
        <f aca="false">NPV(J16,J6:J13)</f>
        <v>19675184.6263644</v>
      </c>
      <c r="O17" s="321" t="s">
        <v>422</v>
      </c>
      <c r="P17" s="625" t="n">
        <f aca="false">NPV(P16,P6:P13)</f>
        <v>11718855.0774313</v>
      </c>
      <c r="Q17" s="626" t="n">
        <f aca="false">NPV(Q16,Q6:Q13)</f>
        <v>8889262.09824701</v>
      </c>
    </row>
    <row r="19" customFormat="false" ht="13.5" hidden="false" customHeight="false" outlineLevel="0" collapsed="false"/>
    <row r="20" customFormat="false" ht="13.5" hidden="false" customHeight="false" outlineLevel="0" collapsed="false">
      <c r="A20" s="627" t="s">
        <v>423</v>
      </c>
      <c r="B20" s="627"/>
      <c r="F20" s="628" t="s">
        <v>127</v>
      </c>
      <c r="G20" s="629" t="s">
        <v>424</v>
      </c>
      <c r="L20" s="630"/>
      <c r="P20" s="321" t="s">
        <v>425</v>
      </c>
      <c r="Q20" s="626" t="n">
        <f aca="false">-((545*B21*4)-(574*B21*4))*1000</f>
        <v>5626000</v>
      </c>
    </row>
    <row r="21" customFormat="false" ht="12.75" hidden="false" customHeight="false" outlineLevel="0" collapsed="false">
      <c r="A21" s="631" t="s">
        <v>408</v>
      </c>
      <c r="B21" s="631" t="n">
        <v>48.5</v>
      </c>
      <c r="F21" s="632" t="n">
        <v>2001</v>
      </c>
      <c r="G21" s="633" t="n">
        <f aca="false">O6-Q6</f>
        <v>0</v>
      </c>
      <c r="P21" s="321"/>
      <c r="Q21" s="321"/>
    </row>
    <row r="22" customFormat="false" ht="12.75" hidden="false" customHeight="false" outlineLevel="0" collapsed="false">
      <c r="A22" s="634" t="s">
        <v>426</v>
      </c>
      <c r="B22" s="634" t="n">
        <v>9332</v>
      </c>
      <c r="F22" s="632" t="n">
        <v>2002</v>
      </c>
      <c r="G22" s="633" t="n">
        <f aca="false">O7-Q7</f>
        <v>2765240</v>
      </c>
      <c r="K22" s="321"/>
      <c r="P22" s="321" t="s">
        <v>427</v>
      </c>
      <c r="Q22" s="626" t="n">
        <v>1700000</v>
      </c>
    </row>
    <row r="23" customFormat="false" ht="12.75" hidden="false" customHeight="false" outlineLevel="0" collapsed="false">
      <c r="A23" s="634" t="s">
        <v>428</v>
      </c>
      <c r="B23" s="635" t="n">
        <v>2</v>
      </c>
      <c r="F23" s="632" t="n">
        <v>2003</v>
      </c>
      <c r="G23" s="633" t="n">
        <f aca="false">O8-Q8</f>
        <v>2862800</v>
      </c>
    </row>
    <row r="24" customFormat="false" ht="12.75" hidden="false" customHeight="false" outlineLevel="0" collapsed="false">
      <c r="A24" s="634" t="s">
        <v>429</v>
      </c>
      <c r="B24" s="635" t="n">
        <v>-0.22</v>
      </c>
      <c r="F24" s="632" t="n">
        <v>2004</v>
      </c>
      <c r="G24" s="633" t="n">
        <f aca="false">O9-Q9</f>
        <v>0</v>
      </c>
      <c r="L24" s="636"/>
      <c r="P24" s="321" t="s">
        <v>430</v>
      </c>
      <c r="Q24" s="637" t="n">
        <f aca="false">Q17-Q20</f>
        <v>3263262.09824701</v>
      </c>
    </row>
    <row r="25" customFormat="false" ht="12.75" hidden="false" customHeight="false" outlineLevel="0" collapsed="false">
      <c r="A25" s="634" t="s">
        <v>431</v>
      </c>
      <c r="B25" s="634" t="s">
        <v>432</v>
      </c>
      <c r="F25" s="632" t="n">
        <v>2005</v>
      </c>
      <c r="G25" s="633" t="n">
        <f aca="false">O10-Q10</f>
        <v>0</v>
      </c>
      <c r="L25" s="636"/>
    </row>
    <row r="26" customFormat="false" ht="12.75" hidden="false" customHeight="false" outlineLevel="0" collapsed="false">
      <c r="A26" s="634" t="s">
        <v>433</v>
      </c>
      <c r="B26" s="635" t="n">
        <v>0.1</v>
      </c>
      <c r="F26" s="632" t="n">
        <v>2006</v>
      </c>
      <c r="G26" s="633" t="n">
        <f aca="false">O11-Q11</f>
        <v>0</v>
      </c>
    </row>
    <row r="27" customFormat="false" ht="13.5" hidden="false" customHeight="false" outlineLevel="0" collapsed="false">
      <c r="A27" s="638" t="s">
        <v>434</v>
      </c>
      <c r="B27" s="638"/>
      <c r="F27" s="632" t="n">
        <v>2007</v>
      </c>
      <c r="G27" s="633" t="n">
        <f aca="false">O12-Q12</f>
        <v>0</v>
      </c>
      <c r="L27" s="636"/>
    </row>
    <row r="28" customFormat="false" ht="13.5" hidden="false" customHeight="false" outlineLevel="0" collapsed="false">
      <c r="F28" s="639" t="n">
        <v>2008</v>
      </c>
      <c r="G28" s="640" t="n">
        <f aca="false">O13-Q13</f>
        <v>0</v>
      </c>
    </row>
    <row r="30" customFormat="false" ht="12.75" hidden="false" customHeight="false" outlineLevel="0" collapsed="false">
      <c r="F30" s="321" t="s">
        <v>435</v>
      </c>
      <c r="G30" s="621" t="n">
        <f aca="false">SUM(G21:G28)</f>
        <v>5628040</v>
      </c>
    </row>
    <row r="31" customFormat="false" ht="12.75" hidden="false" customHeight="false" outlineLevel="0" collapsed="false">
      <c r="F31" s="321" t="s">
        <v>421</v>
      </c>
      <c r="G31" s="624" t="n">
        <v>0.0943935898941564</v>
      </c>
    </row>
    <row r="32" customFormat="false" ht="12.75" hidden="false" customHeight="false" outlineLevel="0" collapsed="false">
      <c r="F32" s="321" t="s">
        <v>422</v>
      </c>
      <c r="G32" s="641" t="n">
        <f aca="false">NPV(G31,G21:G28)</f>
        <v>4492886.27584828</v>
      </c>
    </row>
  </sheetData>
  <mergeCells count="3">
    <mergeCell ref="B4:D4"/>
    <mergeCell ref="K4:M4"/>
    <mergeCell ref="A20:B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7.14"/>
    <col collapsed="false" customWidth="true" hidden="false" outlineLevel="0" max="2" min="2" style="1" width="50.56"/>
    <col collapsed="false" customWidth="true" hidden="false" outlineLevel="0" max="21" min="3" style="1" width="10.56"/>
    <col collapsed="false" customWidth="true" hidden="false" outlineLevel="0" max="23" min="22" style="1" width="10.85"/>
    <col collapsed="false" customWidth="true" hidden="false" outlineLevel="0" max="32" min="24" style="80" width="10.85"/>
    <col collapsed="false" customWidth="false" hidden="false" outlineLevel="0" max="257" min="33" style="80" width="9.14"/>
  </cols>
  <sheetData>
    <row r="2" customFormat="false" ht="18.75" hidden="false" customHeight="false" outlineLevel="0" collapsed="false">
      <c r="A2" s="6" t="str">
        <f aca="false">Assumptions!A3</f>
        <v>PROJECT NAME: LINCOLN</v>
      </c>
    </row>
    <row r="4" customFormat="false" ht="18.75" hidden="false" customHeight="false" outlineLevel="0" collapsed="false">
      <c r="A4" s="560" t="s">
        <v>436</v>
      </c>
      <c r="B4" s="642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7"/>
      <c r="O4" s="537"/>
      <c r="P4" s="537"/>
      <c r="Q4" s="537"/>
      <c r="R4" s="537"/>
      <c r="S4" s="537"/>
      <c r="T4" s="537"/>
      <c r="U4" s="537"/>
      <c r="V4" s="537"/>
      <c r="W4" s="537"/>
      <c r="X4" s="547"/>
      <c r="Y4" s="547"/>
    </row>
    <row r="5" customFormat="false" ht="12.75" hidden="false" customHeight="false" outlineLevel="0" collapsed="false">
      <c r="A5" s="562"/>
      <c r="B5" s="563"/>
      <c r="C5" s="557"/>
      <c r="D5" s="557"/>
      <c r="E5" s="557"/>
      <c r="F5" s="557"/>
      <c r="G5" s="557"/>
      <c r="H5" s="557"/>
      <c r="I5" s="564"/>
      <c r="J5" s="557"/>
      <c r="K5" s="557"/>
      <c r="L5" s="557"/>
      <c r="M5" s="557"/>
      <c r="N5" s="557"/>
      <c r="O5" s="564"/>
      <c r="P5" s="557"/>
      <c r="Q5" s="557"/>
      <c r="R5" s="557"/>
      <c r="S5" s="557"/>
      <c r="T5" s="557"/>
      <c r="U5" s="564"/>
      <c r="V5" s="557"/>
      <c r="W5" s="557"/>
      <c r="X5" s="563"/>
      <c r="Y5" s="563"/>
    </row>
    <row r="6" customFormat="false" ht="12.75" hidden="false" customHeight="false" outlineLevel="0" collapsed="false">
      <c r="A6" s="305" t="s">
        <v>437</v>
      </c>
      <c r="B6" s="305" t="s">
        <v>438</v>
      </c>
      <c r="C6" s="305"/>
      <c r="D6" s="305" t="s">
        <v>439</v>
      </c>
      <c r="E6" s="305"/>
      <c r="F6" s="305" t="s">
        <v>365</v>
      </c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6" t="str">
        <f aca="false">Assumptions!A3</f>
        <v>PROJECT NAME: LINCOLN</v>
      </c>
    </row>
    <row r="4" customFormat="false" ht="18.75" hidden="false" customHeight="false" outlineLevel="0" collapsed="false">
      <c r="A4" s="56" t="s">
        <v>24</v>
      </c>
    </row>
    <row r="6" customFormat="false" ht="13.5" hidden="false" customHeight="false" outlineLevel="0" collapsed="false"/>
    <row r="7" customFormat="false" ht="21" hidden="false" customHeight="false" outlineLevel="0" collapsed="false">
      <c r="A7" s="30"/>
      <c r="B7" s="31" t="s">
        <v>25</v>
      </c>
      <c r="C7" s="31" t="s">
        <v>25</v>
      </c>
      <c r="D7" s="57" t="s">
        <v>16</v>
      </c>
      <c r="E7" s="57"/>
    </row>
    <row r="8" customFormat="false" ht="16.5" hidden="false" customHeight="false" outlineLevel="0" collapsed="false">
      <c r="A8" s="14"/>
      <c r="B8" s="34" t="s">
        <v>26</v>
      </c>
      <c r="C8" s="34" t="s">
        <v>27</v>
      </c>
      <c r="D8" s="57" t="s">
        <v>28</v>
      </c>
      <c r="E8" s="57"/>
    </row>
    <row r="9" customFormat="false" ht="15.75" hidden="false" customHeight="false" outlineLevel="0" collapsed="false">
      <c r="A9" s="58"/>
      <c r="B9" s="59" t="s">
        <v>29</v>
      </c>
      <c r="C9" s="59" t="s">
        <v>29</v>
      </c>
      <c r="D9" s="59" t="s">
        <v>18</v>
      </c>
      <c r="E9" s="60" t="s">
        <v>30</v>
      </c>
    </row>
    <row r="10" customFormat="false" ht="16.5" hidden="false" customHeight="false" outlineLevel="0" collapsed="false">
      <c r="A10" s="61" t="s">
        <v>31</v>
      </c>
      <c r="B10" s="62" t="e">
        <f aca="false">Assumptions!I37</f>
        <v>#VALUE!</v>
      </c>
      <c r="C10" s="62" t="e">
        <f aca="false">Assumptions!I38</f>
        <v>#VALUE!</v>
      </c>
      <c r="D10" s="63" t="n">
        <v>1.28889637492317</v>
      </c>
      <c r="E10" s="64" t="n">
        <v>1.39279213518603</v>
      </c>
    </row>
    <row r="11" customFormat="false" ht="15.75" hidden="false" customHeight="false" outlineLevel="0" collapsed="false">
      <c r="A11" s="65"/>
      <c r="C11" s="66"/>
      <c r="D11" s="67"/>
      <c r="E11" s="67"/>
    </row>
    <row r="12" customFormat="false" ht="13.5" hidden="false" customHeight="false" outlineLevel="0" collapsed="false"/>
    <row r="13" customFormat="false" ht="15.75" hidden="false" customHeight="false" outlineLevel="0" collapsed="false">
      <c r="A13" s="68" t="s">
        <v>32</v>
      </c>
      <c r="B13" s="69" t="n">
        <v>0.116756552457809</v>
      </c>
      <c r="C13" s="69" t="n">
        <v>0.116756552457809</v>
      </c>
      <c r="D13" s="70" t="n">
        <v>1.28889637492317</v>
      </c>
      <c r="E13" s="71" t="n">
        <v>1.39279213518603</v>
      </c>
    </row>
    <row r="14" customFormat="false" ht="15.75" hidden="false" customHeight="false" outlineLevel="0" collapsed="false">
      <c r="A14" s="52"/>
      <c r="B14" s="39"/>
      <c r="C14" s="72"/>
      <c r="D14" s="15"/>
      <c r="E14" s="16"/>
    </row>
    <row r="15" customFormat="false" ht="15.75" hidden="false" customHeight="false" outlineLevel="0" collapsed="false">
      <c r="A15" s="52"/>
      <c r="B15" s="39"/>
      <c r="C15" s="72"/>
      <c r="D15" s="15"/>
      <c r="E15" s="16"/>
    </row>
    <row r="16" customFormat="false" ht="15.75" hidden="false" customHeight="false" outlineLevel="0" collapsed="false">
      <c r="A16" s="52"/>
      <c r="B16" s="39"/>
      <c r="C16" s="72"/>
      <c r="D16" s="15"/>
      <c r="E16" s="16"/>
    </row>
    <row r="17" customFormat="false" ht="15.75" hidden="false" customHeight="false" outlineLevel="0" collapsed="false">
      <c r="A17" s="52"/>
      <c r="B17" s="39"/>
      <c r="C17" s="72"/>
      <c r="D17" s="15"/>
      <c r="E17" s="16"/>
    </row>
    <row r="18" customFormat="false" ht="15.75" hidden="false" customHeight="false" outlineLevel="0" collapsed="false">
      <c r="A18" s="52"/>
      <c r="B18" s="39"/>
      <c r="C18" s="72"/>
      <c r="D18" s="15"/>
      <c r="E18" s="16"/>
    </row>
    <row r="19" customFormat="false" ht="16.5" hidden="false" customHeight="false" outlineLevel="0" collapsed="false">
      <c r="A19" s="54"/>
      <c r="B19" s="36"/>
      <c r="C19" s="73"/>
      <c r="D19" s="74"/>
      <c r="E19" s="75"/>
    </row>
  </sheetData>
  <mergeCells count="2">
    <mergeCell ref="D7:E7"/>
    <mergeCell ref="D8:E8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70"/>
  <sheetViews>
    <sheetView showFormulas="false" showGridLines="true" showRowColHeaders="true" showZeros="true" rightToLeft="false" tabSelected="true" showOutlineSymbols="true" defaultGridColor="true" view="normal" topLeftCell="A10" colorId="64" zoomScale="75" zoomScaleNormal="75" zoomScalePageLayoutView="100" workbookViewId="0">
      <selection pane="topLeft" activeCell="C30" activeCellId="0" sqref="C3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20.13"/>
    <col collapsed="false" customWidth="true" hidden="false" outlineLevel="0" max="6" min="6" style="1" width="6.7"/>
    <col collapsed="false" customWidth="true" hidden="false" outlineLevel="0" max="7" min="7" style="1" width="34.99"/>
    <col collapsed="false" customWidth="true" hidden="false" outlineLevel="0" max="9" min="8" style="1" width="14.41"/>
    <col collapsed="false" customWidth="true" hidden="false" outlineLevel="0" max="10" min="10" style="1" width="11.99"/>
    <col collapsed="false" customWidth="true" hidden="false" outlineLevel="0" max="11" min="11" style="1" width="11.42"/>
    <col collapsed="false" customWidth="true" hidden="false" outlineLevel="0" max="12" min="12" style="1" width="7.42"/>
    <col collapsed="false" customWidth="true" hidden="false" outlineLevel="0" max="13" min="13" style="1" width="31.99"/>
    <col collapsed="false" customWidth="true" hidden="false" outlineLevel="0" max="25" min="14" style="1" width="12.85"/>
    <col collapsed="false" customWidth="true" hidden="false" outlineLevel="0" max="33" min="26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76" t="s">
        <v>33</v>
      </c>
      <c r="J1" s="77"/>
      <c r="AL1" s="77"/>
    </row>
    <row r="2" customFormat="false" ht="13.5" hidden="false" customHeight="true" outlineLevel="0" collapsed="false">
      <c r="A2" s="76"/>
      <c r="J2" s="77"/>
      <c r="AL2" s="77"/>
    </row>
    <row r="3" customFormat="false" ht="19.5" hidden="false" customHeight="true" outlineLevel="0" collapsed="false">
      <c r="A3" s="78" t="s">
        <v>34</v>
      </c>
      <c r="J3" s="77"/>
      <c r="AL3" s="77"/>
    </row>
    <row r="4" customFormat="false" ht="19.5" hidden="false" customHeight="true" outlineLevel="0" collapsed="false">
      <c r="A4" s="79"/>
      <c r="B4" s="80"/>
      <c r="C4" s="80"/>
      <c r="D4" s="80"/>
      <c r="E4" s="80"/>
      <c r="F4" s="80"/>
      <c r="G4" s="80"/>
      <c r="H4" s="80"/>
      <c r="I4" s="80"/>
      <c r="J4" s="81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1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</row>
    <row r="5" customFormat="false" ht="19.5" hidden="false" customHeight="true" outlineLevel="0" collapsed="false">
      <c r="A5" s="2" t="s">
        <v>35</v>
      </c>
      <c r="B5" s="80"/>
      <c r="C5" s="80"/>
      <c r="D5" s="80"/>
    </row>
    <row r="7" customFormat="false" ht="13.5" hidden="false" customHeight="false" outlineLevel="0" collapsed="false"/>
    <row r="8" customFormat="false" ht="15.75" hidden="false" customHeight="false" outlineLevel="0" collapsed="false">
      <c r="A8" s="82" t="s">
        <v>36</v>
      </c>
      <c r="B8" s="11"/>
      <c r="C8" s="11"/>
      <c r="D8" s="83"/>
      <c r="E8" s="84"/>
      <c r="F8" s="39"/>
      <c r="G8" s="85" t="s">
        <v>37</v>
      </c>
      <c r="H8" s="86"/>
      <c r="I8" s="87"/>
      <c r="J8" s="88"/>
      <c r="K8" s="89"/>
      <c r="M8" s="85" t="s">
        <v>38</v>
      </c>
      <c r="N8" s="88"/>
      <c r="O8" s="90"/>
      <c r="P8" s="89"/>
    </row>
    <row r="9" customFormat="false" ht="15.75" hidden="false" customHeight="false" outlineLevel="0" collapsed="false">
      <c r="A9" s="52"/>
      <c r="B9" s="39"/>
      <c r="C9" s="39"/>
      <c r="D9" s="39"/>
      <c r="E9" s="53"/>
      <c r="F9" s="39"/>
      <c r="G9" s="91"/>
      <c r="H9" s="92"/>
      <c r="I9" s="92"/>
      <c r="J9" s="39"/>
      <c r="K9" s="53"/>
      <c r="M9" s="93"/>
      <c r="N9" s="94"/>
      <c r="O9" s="95"/>
      <c r="P9" s="53"/>
    </row>
    <row r="10" customFormat="false" ht="15.75" hidden="false" customHeight="false" outlineLevel="0" collapsed="false">
      <c r="A10" s="96" t="s">
        <v>39</v>
      </c>
      <c r="B10" s="18" t="s">
        <v>40</v>
      </c>
      <c r="C10" s="97" t="s">
        <v>41</v>
      </c>
      <c r="D10" s="98" t="s">
        <v>42</v>
      </c>
      <c r="E10" s="53"/>
      <c r="F10" s="39"/>
      <c r="G10" s="91" t="s">
        <v>43</v>
      </c>
      <c r="H10" s="39"/>
      <c r="I10" s="99" t="s">
        <v>44</v>
      </c>
      <c r="J10" s="39"/>
      <c r="K10" s="53"/>
      <c r="M10" s="14" t="s">
        <v>45</v>
      </c>
      <c r="N10" s="39"/>
      <c r="O10" s="100" t="n">
        <f aca="false">I11*I12</f>
        <v>194</v>
      </c>
      <c r="P10" s="53"/>
    </row>
    <row r="11" customFormat="false" ht="15.75" hidden="false" customHeight="false" outlineLevel="0" collapsed="false">
      <c r="A11" s="101" t="s">
        <v>46</v>
      </c>
      <c r="B11" s="102" t="n">
        <f aca="false">C11/$C$14</f>
        <v>0</v>
      </c>
      <c r="C11" s="103" t="n">
        <v>0</v>
      </c>
      <c r="D11" s="104" t="n">
        <f aca="false">C11/$O$12</f>
        <v>0</v>
      </c>
      <c r="E11" s="53"/>
      <c r="F11" s="39"/>
      <c r="G11" s="91" t="s">
        <v>47</v>
      </c>
      <c r="H11" s="92"/>
      <c r="I11" s="105" t="n">
        <v>4</v>
      </c>
      <c r="J11" s="95"/>
      <c r="K11" s="53"/>
      <c r="M11" s="14" t="s">
        <v>48</v>
      </c>
      <c r="N11" s="39"/>
      <c r="O11" s="105" t="n">
        <v>0</v>
      </c>
      <c r="P11" s="53"/>
    </row>
    <row r="12" customFormat="false" ht="15.75" hidden="false" customHeight="false" outlineLevel="0" collapsed="false">
      <c r="A12" s="101" t="s">
        <v>49</v>
      </c>
      <c r="B12" s="106" t="n">
        <f aca="false">C12/C14</f>
        <v>1</v>
      </c>
      <c r="C12" s="107" t="n">
        <f aca="false">C44-C11</f>
        <v>110855.850382461</v>
      </c>
      <c r="D12" s="104" t="n">
        <f aca="false">C12/$O$12</f>
        <v>571.421909187941</v>
      </c>
      <c r="E12" s="53"/>
      <c r="F12" s="39"/>
      <c r="G12" s="91" t="s">
        <v>50</v>
      </c>
      <c r="H12" s="92"/>
      <c r="I12" s="108" t="n">
        <v>48.5</v>
      </c>
      <c r="J12" s="95"/>
      <c r="K12" s="53"/>
      <c r="M12" s="14" t="s">
        <v>51</v>
      </c>
      <c r="N12" s="39"/>
      <c r="O12" s="109" t="n">
        <f aca="false">SUM(O10:O11)</f>
        <v>194</v>
      </c>
      <c r="P12" s="53"/>
    </row>
    <row r="13" customFormat="false" ht="15.75" hidden="false" customHeight="false" outlineLevel="0" collapsed="false">
      <c r="A13" s="110"/>
      <c r="B13" s="111"/>
      <c r="C13" s="107"/>
      <c r="D13" s="104"/>
      <c r="E13" s="53"/>
      <c r="F13" s="39"/>
      <c r="G13" s="91" t="s">
        <v>52</v>
      </c>
      <c r="H13" s="92"/>
      <c r="I13" s="105" t="n">
        <v>9332</v>
      </c>
      <c r="J13" s="95"/>
      <c r="K13" s="53"/>
      <c r="M13" s="14" t="s">
        <v>53</v>
      </c>
      <c r="N13" s="39"/>
      <c r="O13" s="112" t="n">
        <f aca="false">C30</f>
        <v>1320</v>
      </c>
      <c r="P13" s="53"/>
    </row>
    <row r="14" customFormat="false" ht="15.75" hidden="false" customHeight="false" outlineLevel="0" collapsed="false">
      <c r="A14" s="113" t="s">
        <v>54</v>
      </c>
      <c r="B14" s="114" t="n">
        <f aca="false">C14/$C$14</f>
        <v>1</v>
      </c>
      <c r="C14" s="115" t="n">
        <f aca="false">SUM(C11:C12)</f>
        <v>110855.850382461</v>
      </c>
      <c r="D14" s="116" t="n">
        <f aca="false">C14/$O$12</f>
        <v>571.421909187941</v>
      </c>
      <c r="E14" s="53"/>
      <c r="F14" s="39"/>
      <c r="G14" s="91" t="s">
        <v>55</v>
      </c>
      <c r="H14" s="92"/>
      <c r="I14" s="105" t="n">
        <v>1200</v>
      </c>
      <c r="J14" s="95"/>
      <c r="K14" s="53"/>
      <c r="M14" s="14" t="s">
        <v>56</v>
      </c>
      <c r="N14" s="39"/>
      <c r="O14" s="105" t="n">
        <v>150</v>
      </c>
      <c r="P14" s="53"/>
    </row>
    <row r="15" customFormat="false" ht="16.5" hidden="false" customHeight="false" outlineLevel="0" collapsed="false">
      <c r="A15" s="52"/>
      <c r="B15" s="39"/>
      <c r="C15" s="39"/>
      <c r="D15" s="117"/>
      <c r="E15" s="53"/>
      <c r="F15" s="39"/>
      <c r="G15" s="91" t="s">
        <v>57</v>
      </c>
      <c r="H15" s="92"/>
      <c r="I15" s="118" t="n">
        <v>1</v>
      </c>
      <c r="J15" s="95"/>
      <c r="K15" s="53"/>
      <c r="M15" s="35" t="s">
        <v>58</v>
      </c>
      <c r="N15" s="36"/>
      <c r="O15" s="119" t="n">
        <v>257</v>
      </c>
      <c r="P15" s="55"/>
    </row>
    <row r="16" customFormat="false" ht="15.75" hidden="false" customHeight="false" outlineLevel="0" collapsed="false">
      <c r="A16" s="52"/>
      <c r="B16" s="39"/>
      <c r="C16" s="39"/>
      <c r="D16" s="117"/>
      <c r="E16" s="53"/>
      <c r="F16" s="39"/>
      <c r="G16" s="91" t="s">
        <v>59</v>
      </c>
      <c r="H16" s="92"/>
      <c r="I16" s="120" t="n">
        <f aca="false">MIN(B48,C48,D48,B67)</f>
        <v>37104</v>
      </c>
      <c r="J16" s="95"/>
      <c r="K16" s="53"/>
    </row>
    <row r="17" customFormat="false" ht="15.75" hidden="false" customHeight="false" outlineLevel="0" collapsed="false">
      <c r="A17" s="96" t="s">
        <v>60</v>
      </c>
      <c r="B17" s="18"/>
      <c r="C17" s="18"/>
      <c r="D17" s="104"/>
      <c r="E17" s="53"/>
      <c r="F17" s="39"/>
      <c r="G17" s="91" t="s">
        <v>61</v>
      </c>
      <c r="H17" s="39"/>
      <c r="I17" s="121"/>
      <c r="J17" s="39"/>
      <c r="K17" s="53"/>
    </row>
    <row r="18" customFormat="false" ht="16.5" hidden="false" customHeight="false" outlineLevel="0" collapsed="false">
      <c r="A18" s="122"/>
      <c r="B18" s="123"/>
      <c r="C18" s="39"/>
      <c r="D18" s="117"/>
      <c r="E18" s="53"/>
      <c r="F18" s="39"/>
      <c r="G18" s="91" t="s">
        <v>62</v>
      </c>
      <c r="H18" s="92"/>
      <c r="I18" s="121" t="n">
        <v>37377</v>
      </c>
      <c r="J18" s="39"/>
      <c r="K18" s="53"/>
    </row>
    <row r="19" customFormat="false" ht="15.75" hidden="false" customHeight="false" outlineLevel="0" collapsed="false">
      <c r="A19" s="101" t="s">
        <v>63</v>
      </c>
      <c r="B19" s="39"/>
      <c r="C19" s="39"/>
      <c r="D19" s="117"/>
      <c r="E19" s="53"/>
      <c r="F19" s="39"/>
      <c r="G19" s="14" t="s">
        <v>64</v>
      </c>
      <c r="H19" s="15"/>
      <c r="I19" s="124" t="n">
        <v>8</v>
      </c>
      <c r="J19" s="95"/>
      <c r="K19" s="53"/>
      <c r="M19" s="125" t="s">
        <v>65</v>
      </c>
      <c r="N19" s="12"/>
      <c r="O19" s="11"/>
      <c r="P19" s="89"/>
    </row>
    <row r="20" customFormat="false" ht="15.75" hidden="false" customHeight="false" outlineLevel="0" collapsed="false">
      <c r="A20" s="14" t="s">
        <v>66</v>
      </c>
      <c r="B20" s="126" t="n">
        <f aca="false">C20/$C$44</f>
        <v>0.505593523540981</v>
      </c>
      <c r="C20" s="103" t="n">
        <v>56048</v>
      </c>
      <c r="D20" s="104" t="n">
        <f aca="false">C20/$O$12</f>
        <v>288.907216494845</v>
      </c>
      <c r="E20" s="53"/>
      <c r="F20" s="39"/>
      <c r="G20" s="91" t="s">
        <v>67</v>
      </c>
      <c r="H20" s="127"/>
      <c r="I20" s="105" t="n">
        <v>20</v>
      </c>
      <c r="J20" s="95"/>
      <c r="K20" s="53"/>
      <c r="M20" s="52"/>
      <c r="N20" s="39"/>
      <c r="O20" s="39"/>
      <c r="P20" s="53"/>
    </row>
    <row r="21" customFormat="false" ht="15.75" hidden="false" customHeight="false" outlineLevel="0" collapsed="false">
      <c r="A21" s="14" t="s">
        <v>68</v>
      </c>
      <c r="B21" s="126" t="n">
        <f aca="false">C21/$C$44</f>
        <v>0.245264457457103</v>
      </c>
      <c r="C21" s="103" t="n">
        <v>27189</v>
      </c>
      <c r="D21" s="104" t="n">
        <f aca="false">C21/$O$12</f>
        <v>140.149484536082</v>
      </c>
      <c r="E21" s="53"/>
      <c r="F21" s="39"/>
      <c r="G21" s="91" t="s">
        <v>69</v>
      </c>
      <c r="H21" s="39"/>
      <c r="I21" s="121" t="n">
        <f aca="false">I18+365.25*I20</f>
        <v>44682</v>
      </c>
      <c r="J21" s="95"/>
      <c r="K21" s="53"/>
      <c r="M21" s="128" t="s">
        <v>70</v>
      </c>
      <c r="N21" s="39"/>
      <c r="O21" s="129" t="n">
        <v>0.03</v>
      </c>
      <c r="P21" s="130"/>
    </row>
    <row r="22" customFormat="false" ht="15.75" hidden="false" customHeight="false" outlineLevel="0" collapsed="false">
      <c r="A22" s="14" t="s">
        <v>71</v>
      </c>
      <c r="B22" s="126" t="n">
        <f aca="false">C22/$C$44</f>
        <v>0.0524555084818513</v>
      </c>
      <c r="C22" s="103" t="n">
        <v>5815</v>
      </c>
      <c r="D22" s="104" t="n">
        <f aca="false">C22/$O$12</f>
        <v>29.9742268041237</v>
      </c>
      <c r="E22" s="53"/>
      <c r="F22" s="39"/>
      <c r="G22" s="91" t="s">
        <v>72</v>
      </c>
      <c r="H22" s="39"/>
      <c r="I22" s="118" t="n">
        <v>0.3</v>
      </c>
      <c r="J22" s="39"/>
      <c r="K22" s="53"/>
      <c r="M22" s="14"/>
      <c r="N22" s="39"/>
      <c r="O22" s="39"/>
      <c r="P22" s="130"/>
    </row>
    <row r="23" customFormat="false" ht="16.5" hidden="false" customHeight="false" outlineLevel="0" collapsed="false">
      <c r="A23" s="14" t="s">
        <v>73</v>
      </c>
      <c r="B23" s="126" t="n">
        <f aca="false">C23/$C$44</f>
        <v>0.0180414474572146</v>
      </c>
      <c r="C23" s="103" t="n">
        <v>2000</v>
      </c>
      <c r="D23" s="104" t="n">
        <f aca="false">C23/$O$12</f>
        <v>10.3092783505155</v>
      </c>
      <c r="E23" s="53"/>
      <c r="F23" s="39"/>
      <c r="G23" s="131" t="s">
        <v>74</v>
      </c>
      <c r="H23" s="132"/>
      <c r="I23" s="119" t="n">
        <v>5</v>
      </c>
      <c r="J23" s="133"/>
      <c r="K23" s="55"/>
      <c r="M23" s="128" t="s">
        <v>75</v>
      </c>
      <c r="N23" s="39"/>
      <c r="O23" s="15"/>
      <c r="P23" s="130"/>
    </row>
    <row r="24" customFormat="false" ht="16.5" hidden="false" customHeight="false" outlineLevel="0" collapsed="false">
      <c r="A24" s="14" t="s">
        <v>76</v>
      </c>
      <c r="B24" s="126" t="n">
        <f aca="false">C24/$C$44</f>
        <v>0</v>
      </c>
      <c r="C24" s="103" t="n">
        <v>0</v>
      </c>
      <c r="D24" s="104" t="n">
        <f aca="false">C24/$O$12</f>
        <v>0</v>
      </c>
      <c r="E24" s="53"/>
      <c r="F24" s="39"/>
      <c r="M24" s="52"/>
      <c r="N24" s="39"/>
      <c r="O24" s="134" t="s">
        <v>77</v>
      </c>
      <c r="P24" s="135" t="s">
        <v>78</v>
      </c>
      <c r="Q24" s="0"/>
      <c r="R24" s="0"/>
      <c r="S24" s="0"/>
      <c r="T24" s="0"/>
      <c r="AB24" s="0"/>
    </row>
    <row r="25" customFormat="false" ht="15.75" hidden="false" customHeight="false" outlineLevel="0" collapsed="false">
      <c r="A25" s="14" t="s">
        <v>79</v>
      </c>
      <c r="B25" s="126" t="n">
        <f aca="false">C25/$C$44</f>
        <v>0</v>
      </c>
      <c r="C25" s="103" t="n">
        <v>0</v>
      </c>
      <c r="D25" s="104" t="n">
        <f aca="false">C25/$O$12</f>
        <v>0</v>
      </c>
      <c r="E25" s="53"/>
      <c r="F25" s="39"/>
      <c r="G25" s="125" t="s">
        <v>80</v>
      </c>
      <c r="H25" s="12"/>
      <c r="I25" s="12"/>
      <c r="J25" s="12"/>
      <c r="K25" s="13"/>
      <c r="M25" s="14" t="s">
        <v>81</v>
      </c>
      <c r="N25" s="39"/>
      <c r="O25" s="124" t="n">
        <v>403.5</v>
      </c>
      <c r="P25" s="136" t="n">
        <f aca="false">O25/$O$12</f>
        <v>2.0798969072165</v>
      </c>
      <c r="Q25" s="0"/>
      <c r="R25" s="0"/>
      <c r="S25" s="0"/>
      <c r="T25" s="0"/>
      <c r="AB25" s="0"/>
    </row>
    <row r="26" customFormat="false" ht="15.75" hidden="false" customHeight="false" outlineLevel="0" collapsed="false">
      <c r="A26" s="14" t="s">
        <v>82</v>
      </c>
      <c r="B26" s="126" t="n">
        <f aca="false">C26/$C$44</f>
        <v>0</v>
      </c>
      <c r="C26" s="103" t="n">
        <v>0</v>
      </c>
      <c r="D26" s="104" t="n">
        <f aca="false">C26/$O$12</f>
        <v>0</v>
      </c>
      <c r="E26" s="53"/>
      <c r="F26" s="39"/>
      <c r="G26" s="14"/>
      <c r="H26" s="15"/>
      <c r="I26" s="15"/>
      <c r="J26" s="15"/>
      <c r="K26" s="16"/>
      <c r="M26" s="14" t="s">
        <v>83</v>
      </c>
      <c r="N26" s="39"/>
      <c r="O26" s="137" t="n">
        <v>1.61</v>
      </c>
      <c r="P26" s="136" t="n">
        <f aca="false">O26/$O$12</f>
        <v>0.00829896907216495</v>
      </c>
      <c r="Q26" s="0"/>
      <c r="R26" s="0"/>
      <c r="S26" s="0"/>
      <c r="T26" s="0"/>
      <c r="AB26" s="0"/>
    </row>
    <row r="27" customFormat="false" ht="15.75" hidden="false" customHeight="false" outlineLevel="0" collapsed="false">
      <c r="A27" s="14" t="s">
        <v>84</v>
      </c>
      <c r="B27" s="126" t="n">
        <f aca="false">C27/$C$44</f>
        <v>0</v>
      </c>
      <c r="C27" s="103" t="n">
        <v>0</v>
      </c>
      <c r="D27" s="104" t="n">
        <f aca="false">C27/$O$12</f>
        <v>0</v>
      </c>
      <c r="E27" s="53"/>
      <c r="F27" s="39"/>
      <c r="G27" s="138" t="s">
        <v>16</v>
      </c>
      <c r="H27" s="139"/>
      <c r="I27" s="18" t="s">
        <v>85</v>
      </c>
      <c r="J27" s="18" t="s">
        <v>86</v>
      </c>
      <c r="K27" s="53"/>
      <c r="M27" s="140" t="s">
        <v>87</v>
      </c>
      <c r="N27" s="39"/>
      <c r="O27" s="137" t="n">
        <v>1.61</v>
      </c>
      <c r="P27" s="136" t="n">
        <f aca="false">O27/$O$12</f>
        <v>0.00829896907216495</v>
      </c>
      <c r="Q27" s="0"/>
      <c r="R27" s="0"/>
      <c r="S27" s="0"/>
      <c r="T27" s="0"/>
      <c r="AB27" s="0"/>
    </row>
    <row r="28" customFormat="false" ht="15.75" hidden="false" customHeight="false" outlineLevel="0" collapsed="false">
      <c r="A28" s="14" t="s">
        <v>88</v>
      </c>
      <c r="B28" s="126" t="n">
        <f aca="false">C28/$C$44</f>
        <v>0.0108248684743287</v>
      </c>
      <c r="C28" s="103" t="n">
        <v>1200</v>
      </c>
      <c r="D28" s="104" t="n">
        <f aca="false">C28/$O$12</f>
        <v>6.18556701030928</v>
      </c>
      <c r="E28" s="53"/>
      <c r="F28" s="39"/>
      <c r="G28" s="52"/>
      <c r="H28" s="15"/>
      <c r="I28" s="141" t="n">
        <f aca="false">Debt!B92</f>
        <v>1.82245431792719</v>
      </c>
      <c r="J28" s="141" t="n">
        <f aca="false">Debt!B93</f>
        <v>0.347390566020713</v>
      </c>
      <c r="K28" s="53"/>
      <c r="M28" s="140" t="s">
        <v>89</v>
      </c>
      <c r="N28" s="39"/>
      <c r="O28" s="137" t="n">
        <v>1.61</v>
      </c>
      <c r="P28" s="136" t="n">
        <f aca="false">O28/$O$12</f>
        <v>0.00829896907216495</v>
      </c>
      <c r="Q28" s="0"/>
      <c r="R28" s="0"/>
      <c r="S28" s="0"/>
      <c r="T28" s="0"/>
      <c r="AB28" s="0"/>
    </row>
    <row r="29" customFormat="false" ht="15.75" hidden="false" customHeight="false" outlineLevel="0" collapsed="false">
      <c r="A29" s="14" t="s">
        <v>90</v>
      </c>
      <c r="B29" s="126" t="n">
        <f aca="false">C29/$C$44</f>
        <v>0.0366331590618742</v>
      </c>
      <c r="C29" s="103" t="n">
        <v>4061</v>
      </c>
      <c r="D29" s="104" t="n">
        <f aca="false">C29/$O$12</f>
        <v>20.9329896907216</v>
      </c>
      <c r="E29" s="53"/>
      <c r="F29" s="39"/>
      <c r="G29" s="52"/>
      <c r="H29" s="39"/>
      <c r="I29" s="39"/>
      <c r="J29" s="39"/>
      <c r="K29" s="53"/>
      <c r="M29" s="14" t="s">
        <v>91</v>
      </c>
      <c r="N29" s="39"/>
      <c r="O29" s="124" t="n">
        <v>0</v>
      </c>
      <c r="P29" s="136" t="n">
        <f aca="false">O29/$O$12</f>
        <v>0</v>
      </c>
      <c r="Q29" s="0"/>
      <c r="R29" s="0"/>
      <c r="S29" s="0"/>
      <c r="T29" s="0"/>
      <c r="AB29" s="0"/>
    </row>
    <row r="30" customFormat="false" ht="15.75" hidden="false" customHeight="false" outlineLevel="0" collapsed="false">
      <c r="A30" s="138" t="s">
        <v>92</v>
      </c>
      <c r="B30" s="142" t="n">
        <f aca="false">C30/$C$44</f>
        <v>0.0119073553217616</v>
      </c>
      <c r="C30" s="143" t="n">
        <v>1320</v>
      </c>
      <c r="D30" s="116" t="n">
        <f aca="false">C30/$O$12</f>
        <v>6.80412371134021</v>
      </c>
      <c r="E30" s="53"/>
      <c r="F30" s="39"/>
      <c r="G30" s="144" t="s">
        <v>93</v>
      </c>
      <c r="H30" s="145"/>
      <c r="I30" s="146" t="s">
        <v>94</v>
      </c>
      <c r="J30" s="145"/>
      <c r="K30" s="147"/>
      <c r="M30" s="14" t="s">
        <v>95</v>
      </c>
      <c r="N30" s="39"/>
      <c r="O30" s="124" t="n">
        <v>112</v>
      </c>
      <c r="P30" s="136" t="n">
        <f aca="false">O30/$O$12</f>
        <v>0.577319587628866</v>
      </c>
      <c r="Q30" s="0"/>
      <c r="R30" s="0"/>
      <c r="S30" s="0"/>
      <c r="T30" s="0"/>
      <c r="AB30" s="0"/>
    </row>
    <row r="31" customFormat="false" ht="15.75" hidden="false" customHeight="false" outlineLevel="0" collapsed="false">
      <c r="A31" s="14" t="s">
        <v>96</v>
      </c>
      <c r="B31" s="126" t="n">
        <f aca="false">C31/$C$44</f>
        <v>0.880720319795115</v>
      </c>
      <c r="C31" s="107" t="n">
        <f aca="false">SUM(C20:C30)</f>
        <v>97633</v>
      </c>
      <c r="D31" s="104" t="n">
        <f aca="false">C31/$O$12</f>
        <v>503.262886597938</v>
      </c>
      <c r="E31" s="53"/>
      <c r="F31" s="39"/>
      <c r="G31" s="148" t="s">
        <v>97</v>
      </c>
      <c r="H31" s="145"/>
      <c r="I31" s="149" t="n">
        <f aca="false">D31</f>
        <v>503.262886597938</v>
      </c>
      <c r="J31" s="145"/>
      <c r="K31" s="147"/>
      <c r="M31" s="14" t="s">
        <v>98</v>
      </c>
      <c r="N31" s="39"/>
      <c r="O31" s="124" t="n">
        <v>170</v>
      </c>
      <c r="P31" s="136" t="n">
        <f aca="false">O31/$O$12</f>
        <v>0.876288659793814</v>
      </c>
      <c r="Q31" s="0"/>
      <c r="R31" s="0"/>
      <c r="S31" s="0"/>
      <c r="T31" s="0"/>
      <c r="AB31" s="0"/>
    </row>
    <row r="32" customFormat="false" ht="15.75" hidden="false" customHeight="false" outlineLevel="0" collapsed="false">
      <c r="A32" s="52"/>
      <c r="B32" s="39"/>
      <c r="C32" s="39"/>
      <c r="D32" s="117"/>
      <c r="E32" s="53"/>
      <c r="F32" s="39"/>
      <c r="G32" s="148" t="s">
        <v>99</v>
      </c>
      <c r="H32" s="150"/>
      <c r="I32" s="149" t="n">
        <f aca="false">D37+D39+D40+D41</f>
        <v>63.5198473322706</v>
      </c>
      <c r="J32" s="150"/>
      <c r="K32" s="147"/>
      <c r="M32" s="14" t="s">
        <v>100</v>
      </c>
      <c r="N32" s="39"/>
      <c r="O32" s="124" t="n">
        <v>47.5</v>
      </c>
      <c r="P32" s="136" t="n">
        <f aca="false">O32/$O$12</f>
        <v>0.244845360824742</v>
      </c>
      <c r="Q32" s="0"/>
      <c r="R32" s="151"/>
      <c r="S32" s="0"/>
      <c r="T32" s="0"/>
      <c r="AB32" s="0"/>
    </row>
    <row r="33" customFormat="false" ht="16.5" hidden="false" customHeight="false" outlineLevel="0" collapsed="false">
      <c r="A33" s="101" t="s">
        <v>101</v>
      </c>
      <c r="B33" s="39"/>
      <c r="C33" s="39"/>
      <c r="D33" s="117"/>
      <c r="E33" s="53"/>
      <c r="F33" s="39"/>
      <c r="G33" s="144" t="s">
        <v>3</v>
      </c>
      <c r="H33" s="150"/>
      <c r="I33" s="149" t="n">
        <f aca="false">SUM(P21:P40)</f>
        <v>6.45015463917526</v>
      </c>
      <c r="J33" s="150"/>
      <c r="K33" s="147"/>
      <c r="M33" s="14" t="s">
        <v>102</v>
      </c>
      <c r="N33" s="39"/>
      <c r="O33" s="124" t="n">
        <v>0</v>
      </c>
      <c r="P33" s="136" t="n">
        <f aca="false">O33/$O$12</f>
        <v>0</v>
      </c>
      <c r="Q33" s="0"/>
      <c r="R33" s="0"/>
      <c r="S33" s="0"/>
      <c r="T33" s="0"/>
      <c r="AB33" s="0"/>
    </row>
    <row r="34" customFormat="false" ht="16.5" hidden="false" customHeight="false" outlineLevel="0" collapsed="false">
      <c r="A34" s="101" t="s">
        <v>103</v>
      </c>
      <c r="B34" s="126" t="n">
        <f aca="false">C34/$C$44</f>
        <v>0.00135310855929109</v>
      </c>
      <c r="C34" s="103" t="n">
        <v>150</v>
      </c>
      <c r="D34" s="104" t="n">
        <f aca="false">C34/$O$12</f>
        <v>0.77319587628866</v>
      </c>
      <c r="E34" s="53"/>
      <c r="F34" s="39"/>
      <c r="G34" s="148" t="s">
        <v>104</v>
      </c>
      <c r="H34" s="150"/>
      <c r="I34" s="152" t="n">
        <f aca="false">SUM(I31:I33)</f>
        <v>573.232888569384</v>
      </c>
      <c r="J34" s="150"/>
      <c r="K34" s="147"/>
      <c r="M34" s="14" t="s">
        <v>105</v>
      </c>
      <c r="N34" s="39"/>
      <c r="O34" s="124" t="n">
        <v>113.5</v>
      </c>
      <c r="P34" s="136" t="n">
        <f aca="false">O34/$O$12</f>
        <v>0.585051546391753</v>
      </c>
      <c r="Q34" s="0"/>
      <c r="R34" s="0"/>
      <c r="S34" s="0"/>
      <c r="T34" s="0"/>
      <c r="AB34" s="0"/>
    </row>
    <row r="35" customFormat="false" ht="15.75" hidden="false" customHeight="false" outlineLevel="0" collapsed="false">
      <c r="A35" s="101" t="s">
        <v>106</v>
      </c>
      <c r="B35" s="126" t="n">
        <f aca="false">C35/$C$44</f>
        <v>0.0135310855929109</v>
      </c>
      <c r="C35" s="103" t="n">
        <v>1500</v>
      </c>
      <c r="D35" s="104" t="n">
        <f aca="false">C35/$O$12</f>
        <v>7.7319587628866</v>
      </c>
      <c r="E35" s="53"/>
      <c r="F35" s="39"/>
      <c r="G35" s="52"/>
      <c r="H35" s="39"/>
      <c r="I35" s="39"/>
      <c r="J35" s="39"/>
      <c r="K35" s="53"/>
      <c r="M35" s="14" t="s">
        <v>107</v>
      </c>
      <c r="N35" s="39"/>
      <c r="O35" s="124" t="n">
        <v>100</v>
      </c>
      <c r="P35" s="136" t="n">
        <f aca="false">O35/$O$12</f>
        <v>0.515463917525773</v>
      </c>
      <c r="Q35" s="0"/>
      <c r="R35" s="0"/>
      <c r="S35" s="0"/>
      <c r="T35" s="0"/>
      <c r="AB35" s="0"/>
    </row>
    <row r="36" customFormat="false" ht="15.75" hidden="false" customHeight="false" outlineLevel="0" collapsed="false">
      <c r="A36" s="138" t="s">
        <v>108</v>
      </c>
      <c r="B36" s="142" t="n">
        <f aca="false">C36/$C$44</f>
        <v>0.0847406787065368</v>
      </c>
      <c r="C36" s="143" t="n">
        <v>9394</v>
      </c>
      <c r="D36" s="104" t="n">
        <f aca="false">C36/$O$12</f>
        <v>48.4226804123711</v>
      </c>
      <c r="E36" s="53"/>
      <c r="F36" s="39"/>
      <c r="G36" s="138" t="s">
        <v>109</v>
      </c>
      <c r="H36" s="39"/>
      <c r="I36" s="39"/>
      <c r="J36" s="39"/>
      <c r="K36" s="53"/>
      <c r="M36" s="14"/>
      <c r="N36" s="39"/>
      <c r="O36" s="20"/>
      <c r="P36" s="136"/>
      <c r="Q36" s="0"/>
      <c r="R36" s="0"/>
      <c r="S36" s="0"/>
      <c r="T36" s="0"/>
      <c r="AB36" s="0"/>
    </row>
    <row r="37" customFormat="false" ht="15.75" hidden="false" customHeight="false" outlineLevel="0" collapsed="false">
      <c r="A37" s="14" t="s">
        <v>96</v>
      </c>
      <c r="B37" s="126" t="n">
        <f aca="false">C37/$C$44</f>
        <v>0.0996248728587388</v>
      </c>
      <c r="C37" s="153" t="n">
        <f aca="false">SUM(C34:C36)</f>
        <v>11044</v>
      </c>
      <c r="D37" s="104" t="n">
        <f aca="false">C37/$O$12</f>
        <v>56.9278350515464</v>
      </c>
      <c r="E37" s="53"/>
      <c r="F37" s="39"/>
      <c r="G37" s="14" t="s">
        <v>110</v>
      </c>
      <c r="H37" s="15"/>
      <c r="I37" s="154" t="e">
        <f aca="false">CF!B43</f>
        <v>#VALUE!</v>
      </c>
      <c r="J37" s="39"/>
      <c r="K37" s="53"/>
      <c r="M37" s="128" t="s">
        <v>111</v>
      </c>
      <c r="N37" s="39"/>
      <c r="O37" s="20"/>
      <c r="P37" s="136"/>
      <c r="Q37" s="0"/>
      <c r="R37" s="0"/>
      <c r="S37" s="0"/>
      <c r="T37" s="0"/>
      <c r="AB37" s="0"/>
    </row>
    <row r="38" customFormat="false" ht="15.75" hidden="false" customHeight="false" outlineLevel="0" collapsed="false">
      <c r="A38" s="52"/>
      <c r="B38" s="39"/>
      <c r="C38" s="39"/>
      <c r="D38" s="104"/>
      <c r="E38" s="53"/>
      <c r="F38" s="39"/>
      <c r="G38" s="14" t="s">
        <v>112</v>
      </c>
      <c r="H38" s="39"/>
      <c r="I38" s="154" t="e">
        <f aca="false">CF!B49</f>
        <v>#VALUE!</v>
      </c>
      <c r="J38" s="15"/>
      <c r="K38" s="53"/>
      <c r="M38" s="14" t="s">
        <v>113</v>
      </c>
      <c r="N38" s="39"/>
      <c r="O38" s="124" t="n">
        <v>0</v>
      </c>
      <c r="P38" s="136" t="n">
        <f aca="false">O38/$O$12</f>
        <v>0</v>
      </c>
      <c r="Q38" s="0"/>
      <c r="R38" s="0"/>
      <c r="S38" s="0"/>
      <c r="T38" s="0"/>
      <c r="AB38" s="0"/>
    </row>
    <row r="39" customFormat="false" ht="15.75" hidden="false" customHeight="false" outlineLevel="0" collapsed="false">
      <c r="A39" s="14" t="s">
        <v>114</v>
      </c>
      <c r="B39" s="126" t="n">
        <f aca="false">C39/$C$44</f>
        <v>0.00737363323307137</v>
      </c>
      <c r="C39" s="155" t="n">
        <f aca="false">IDC!D16</f>
        <v>817.410382460499</v>
      </c>
      <c r="D39" s="104" t="n">
        <f aca="false">C39/$O$12</f>
        <v>4.21345557969329</v>
      </c>
      <c r="E39" s="53"/>
      <c r="F39" s="39"/>
      <c r="G39" s="14"/>
      <c r="H39" s="15"/>
      <c r="I39" s="154"/>
      <c r="J39" s="15"/>
      <c r="K39" s="53"/>
      <c r="M39" s="14" t="s">
        <v>115</v>
      </c>
      <c r="N39" s="39"/>
      <c r="O39" s="124" t="n">
        <v>300</v>
      </c>
      <c r="P39" s="136" t="n">
        <f aca="false">O39/$O$12</f>
        <v>1.54639175257732</v>
      </c>
      <c r="Q39" s="0"/>
      <c r="R39" s="0"/>
      <c r="S39" s="0"/>
      <c r="T39" s="0"/>
      <c r="AB39" s="0"/>
    </row>
    <row r="40" customFormat="false" ht="16.5" hidden="false" customHeight="false" outlineLevel="0" collapsed="false">
      <c r="A40" s="14" t="s">
        <v>116</v>
      </c>
      <c r="B40" s="126" t="n">
        <f aca="false">C40/$C$44</f>
        <v>0.00416252275732854</v>
      </c>
      <c r="C40" s="103" t="n">
        <v>461.44</v>
      </c>
      <c r="D40" s="104" t="n">
        <f aca="false">C40/$O$12</f>
        <v>2.37855670103093</v>
      </c>
      <c r="E40" s="53"/>
      <c r="F40" s="39"/>
      <c r="G40" s="138" t="s">
        <v>117</v>
      </c>
      <c r="H40" s="18" t="n">
        <f aca="false">IS!C7</f>
        <v>2002</v>
      </c>
      <c r="I40" s="18" t="n">
        <f aca="false">IS!D7</f>
        <v>2003</v>
      </c>
      <c r="J40" s="18" t="n">
        <f aca="false">IS!E7</f>
        <v>2004</v>
      </c>
      <c r="K40" s="19" t="n">
        <f aca="false">IS!F7</f>
        <v>2005</v>
      </c>
      <c r="M40" s="35" t="s">
        <v>118</v>
      </c>
      <c r="N40" s="36"/>
      <c r="O40" s="156" t="n">
        <v>0</v>
      </c>
      <c r="P40" s="157" t="n">
        <f aca="false">O40/$O$12</f>
        <v>0</v>
      </c>
      <c r="Q40" s="0"/>
      <c r="R40" s="0"/>
      <c r="S40" s="0"/>
      <c r="T40" s="0"/>
      <c r="Z40" s="0"/>
      <c r="AA40" s="0"/>
      <c r="AB40" s="0"/>
    </row>
    <row r="41" customFormat="false" ht="16.5" hidden="false" customHeight="false" outlineLevel="0" collapsed="false">
      <c r="A41" s="101" t="s">
        <v>119</v>
      </c>
      <c r="B41" s="126" t="n">
        <f aca="false">C41/$C$44</f>
        <v>0</v>
      </c>
      <c r="C41" s="103" t="n">
        <v>0</v>
      </c>
      <c r="D41" s="104" t="n">
        <f aca="false">C41/$O$12</f>
        <v>0</v>
      </c>
      <c r="E41" s="53"/>
      <c r="F41" s="39"/>
      <c r="G41" s="14" t="s">
        <v>120</v>
      </c>
      <c r="H41" s="153" t="n">
        <f aca="false">IS!C43</f>
        <v>6308.38152</v>
      </c>
      <c r="I41" s="153" t="n">
        <f aca="false">IS!D43</f>
        <v>9746.9239656</v>
      </c>
      <c r="J41" s="153" t="n">
        <f aca="false">IS!E43</f>
        <v>3993.515684568</v>
      </c>
      <c r="K41" s="158" t="n">
        <f aca="false">IS!F43</f>
        <v>10745.9789633645</v>
      </c>
      <c r="O41" s="159"/>
      <c r="Q41" s="0"/>
      <c r="R41" s="0"/>
      <c r="S41" s="0"/>
      <c r="T41" s="0"/>
      <c r="AB41" s="0"/>
    </row>
    <row r="42" customFormat="false" ht="15.75" hidden="false" customHeight="false" outlineLevel="0" collapsed="false">
      <c r="A42" s="14" t="s">
        <v>121</v>
      </c>
      <c r="B42" s="126" t="n">
        <f aca="false">C42/$C$44</f>
        <v>0.00811865135574655</v>
      </c>
      <c r="C42" s="103" t="n">
        <v>900</v>
      </c>
      <c r="D42" s="104" t="n">
        <f aca="false">C42/$O$12</f>
        <v>4.63917525773196</v>
      </c>
      <c r="E42" s="53"/>
      <c r="F42" s="39"/>
      <c r="G42" s="14" t="s">
        <v>122</v>
      </c>
      <c r="H42" s="153" t="n">
        <f aca="false">IS!C56</f>
        <v>-80.1916583755847</v>
      </c>
      <c r="I42" s="153" t="n">
        <f aca="false">IS!D56</f>
        <v>-1899.08275683334</v>
      </c>
      <c r="J42" s="153" t="n">
        <f aca="false">IS!E56</f>
        <v>-5224.76302770958</v>
      </c>
      <c r="K42" s="158" t="n">
        <f aca="false">IS!F56</f>
        <v>-909.355775530604</v>
      </c>
      <c r="M42" s="85" t="s">
        <v>123</v>
      </c>
      <c r="N42" s="87"/>
      <c r="O42" s="87"/>
      <c r="P42" s="13"/>
      <c r="Q42" s="0"/>
      <c r="R42" s="0"/>
      <c r="S42" s="0"/>
      <c r="T42" s="0"/>
      <c r="AB42" s="0"/>
    </row>
    <row r="43" customFormat="false" ht="15.75" hidden="false" customHeight="false" outlineLevel="0" collapsed="false">
      <c r="A43" s="52"/>
      <c r="B43" s="39"/>
      <c r="C43" s="39"/>
      <c r="D43" s="39"/>
      <c r="E43" s="53"/>
      <c r="F43" s="39"/>
      <c r="G43" s="14" t="s">
        <v>124</v>
      </c>
      <c r="H43" s="153" t="n">
        <f aca="false">CF!C18</f>
        <v>-2005.80725868454</v>
      </c>
      <c r="I43" s="153" t="n">
        <f aca="false">CF!D18</f>
        <v>-2059.22410013204</v>
      </c>
      <c r="J43" s="153" t="n">
        <f aca="false">CF!E18</f>
        <v>-7502.23600009315</v>
      </c>
      <c r="K43" s="158" t="n">
        <f aca="false">CF!F18</f>
        <v>-439.376340225759</v>
      </c>
      <c r="M43" s="52"/>
      <c r="N43" s="160"/>
      <c r="O43" s="39"/>
      <c r="P43" s="53"/>
      <c r="Q43" s="0"/>
      <c r="R43" s="0"/>
      <c r="S43" s="0"/>
      <c r="T43" s="0"/>
      <c r="AB43" s="0"/>
    </row>
    <row r="44" customFormat="false" ht="16.5" hidden="false" customHeight="false" outlineLevel="0" collapsed="false">
      <c r="A44" s="161" t="s">
        <v>125</v>
      </c>
      <c r="B44" s="162" t="n">
        <f aca="false">B41+B40+B39+B37+B31+B42</f>
        <v>1</v>
      </c>
      <c r="C44" s="163" t="n">
        <f aca="false">SUM(C39:C42,C37,C31)</f>
        <v>110855.850382461</v>
      </c>
      <c r="D44" s="164" t="n">
        <f aca="false">C44/O12</f>
        <v>571.421909187941</v>
      </c>
      <c r="E44" s="165"/>
      <c r="F44" s="39"/>
      <c r="G44" s="35" t="s">
        <v>126</v>
      </c>
      <c r="H44" s="166" t="n">
        <f aca="false">CF!C23</f>
        <v>-809.31245683273</v>
      </c>
      <c r="I44" s="166" t="n">
        <f aca="false">CF!D23</f>
        <v>946.227679559725</v>
      </c>
      <c r="J44" s="166" t="n">
        <f aca="false">CF!E23</f>
        <v>-2956.073580415</v>
      </c>
      <c r="K44" s="167" t="n">
        <f aca="false">CF!F23</f>
        <v>1308.79362349881</v>
      </c>
      <c r="M44" s="14"/>
      <c r="N44" s="160" t="s">
        <v>127</v>
      </c>
      <c r="O44" s="160" t="s">
        <v>128</v>
      </c>
      <c r="P44" s="19" t="s">
        <v>129</v>
      </c>
      <c r="Q44" s="0"/>
      <c r="R44" s="0"/>
      <c r="S44" s="0"/>
      <c r="T44" s="0"/>
      <c r="AB44" s="0"/>
    </row>
    <row r="45" customFormat="false" ht="16.5" hidden="false" customHeight="false" outlineLevel="0" collapsed="false">
      <c r="A45" s="39"/>
      <c r="B45" s="39"/>
      <c r="C45" s="39"/>
      <c r="D45" s="39"/>
      <c r="E45" s="168"/>
      <c r="F45" s="39"/>
      <c r="K45" s="0"/>
      <c r="M45" s="169" t="s">
        <v>130</v>
      </c>
      <c r="N45" s="170"/>
      <c r="O45" s="170"/>
      <c r="P45" s="16"/>
      <c r="Q45" s="0"/>
      <c r="R45" s="0"/>
      <c r="S45" s="0"/>
      <c r="T45" s="0"/>
      <c r="AB45" s="0"/>
    </row>
    <row r="46" customFormat="false" ht="15.75" hidden="false" customHeight="false" outlineLevel="0" collapsed="false">
      <c r="A46" s="125" t="s">
        <v>131</v>
      </c>
      <c r="B46" s="11"/>
      <c r="C46" s="11"/>
      <c r="D46" s="171"/>
      <c r="E46" s="89"/>
      <c r="F46" s="39"/>
      <c r="G46" s="85" t="s">
        <v>132</v>
      </c>
      <c r="H46" s="86"/>
      <c r="I46" s="12"/>
      <c r="J46" s="90"/>
      <c r="K46" s="89"/>
      <c r="M46" s="91" t="s">
        <v>133</v>
      </c>
      <c r="N46" s="172" t="n">
        <v>15</v>
      </c>
      <c r="O46" s="173" t="s">
        <v>134</v>
      </c>
      <c r="P46" s="174" t="n">
        <v>0</v>
      </c>
      <c r="Q46" s="0"/>
      <c r="R46" s="0"/>
      <c r="S46" s="0"/>
      <c r="T46" s="0"/>
      <c r="AB46" s="0"/>
    </row>
    <row r="47" customFormat="false" ht="15.75" hidden="false" customHeight="false" outlineLevel="0" collapsed="false">
      <c r="A47" s="175" t="s">
        <v>135</v>
      </c>
      <c r="B47" s="176" t="s">
        <v>136</v>
      </c>
      <c r="C47" s="176" t="s">
        <v>137</v>
      </c>
      <c r="D47" s="176" t="s">
        <v>138</v>
      </c>
      <c r="E47" s="177" t="s">
        <v>104</v>
      </c>
      <c r="F47" s="39"/>
      <c r="G47" s="52"/>
      <c r="H47" s="39"/>
      <c r="I47" s="39"/>
      <c r="J47" s="95"/>
      <c r="K47" s="178"/>
      <c r="M47" s="91" t="s">
        <v>139</v>
      </c>
      <c r="N47" s="172" t="n">
        <v>20</v>
      </c>
      <c r="O47" s="173" t="s">
        <v>140</v>
      </c>
      <c r="P47" s="174" t="n">
        <v>0</v>
      </c>
      <c r="Q47" s="0"/>
      <c r="R47" s="0"/>
      <c r="S47" s="0"/>
      <c r="T47" s="0"/>
      <c r="AB47" s="0"/>
    </row>
    <row r="48" customFormat="false" ht="15.75" hidden="false" customHeight="false" outlineLevel="0" collapsed="false">
      <c r="A48" s="179" t="s">
        <v>141</v>
      </c>
      <c r="B48" s="180" t="n">
        <v>37104</v>
      </c>
      <c r="C48" s="180" t="n">
        <v>37104</v>
      </c>
      <c r="D48" s="180" t="n">
        <v>37104</v>
      </c>
      <c r="E48" s="181"/>
      <c r="F48" s="182"/>
      <c r="G48" s="14" t="s">
        <v>142</v>
      </c>
      <c r="H48" s="39"/>
      <c r="I48" s="121" t="n">
        <v>37012</v>
      </c>
      <c r="J48" s="95"/>
      <c r="K48" s="53"/>
      <c r="M48" s="91"/>
      <c r="N48" s="183"/>
      <c r="O48" s="183"/>
      <c r="P48" s="184"/>
      <c r="Q48" s="0"/>
      <c r="R48" s="0"/>
      <c r="S48" s="0"/>
      <c r="T48" s="0"/>
      <c r="AB48" s="0"/>
    </row>
    <row r="49" customFormat="false" ht="15.75" hidden="false" customHeight="false" outlineLevel="0" collapsed="false">
      <c r="A49" s="179" t="s">
        <v>143</v>
      </c>
      <c r="B49" s="180"/>
      <c r="C49" s="180"/>
      <c r="D49" s="180"/>
      <c r="E49" s="53"/>
      <c r="F49" s="185"/>
      <c r="G49" s="14" t="s">
        <v>144</v>
      </c>
      <c r="H49" s="39"/>
      <c r="I49" s="121" t="n">
        <v>44348</v>
      </c>
      <c r="J49" s="95"/>
      <c r="K49" s="53"/>
      <c r="M49" s="169" t="s">
        <v>145</v>
      </c>
      <c r="N49" s="186"/>
      <c r="O49" s="183"/>
      <c r="P49" s="174"/>
      <c r="Q49" s="0"/>
      <c r="R49" s="0"/>
      <c r="S49" s="0"/>
      <c r="T49" s="0"/>
      <c r="AB49" s="0"/>
    </row>
    <row r="50" customFormat="false" ht="15.75" hidden="false" customHeight="false" outlineLevel="0" collapsed="false">
      <c r="A50" s="52"/>
      <c r="B50" s="39"/>
      <c r="C50" s="39"/>
      <c r="D50" s="39"/>
      <c r="E50" s="53"/>
      <c r="F50" s="39"/>
      <c r="G50" s="52"/>
      <c r="H50" s="39"/>
      <c r="I50" s="39"/>
      <c r="J50" s="95"/>
      <c r="K50" s="53"/>
      <c r="M50" s="91" t="s">
        <v>133</v>
      </c>
      <c r="N50" s="172" t="n">
        <v>30</v>
      </c>
      <c r="O50" s="173" t="s">
        <v>140</v>
      </c>
      <c r="P50" s="187" t="n">
        <v>0.1</v>
      </c>
      <c r="Q50" s="0"/>
      <c r="R50" s="0"/>
      <c r="S50" s="0"/>
      <c r="T50" s="0"/>
      <c r="AB50" s="0"/>
    </row>
    <row r="51" customFormat="false" ht="16.5" hidden="false" customHeight="false" outlineLevel="0" collapsed="false">
      <c r="A51" s="138" t="s">
        <v>146</v>
      </c>
      <c r="B51" s="39"/>
      <c r="C51" s="39"/>
      <c r="D51" s="39"/>
      <c r="E51" s="53"/>
      <c r="F51" s="188"/>
      <c r="G51" s="138" t="s">
        <v>147</v>
      </c>
      <c r="H51" s="39"/>
      <c r="I51" s="39"/>
      <c r="J51" s="95"/>
      <c r="K51" s="53"/>
      <c r="M51" s="189" t="s">
        <v>139</v>
      </c>
      <c r="N51" s="190" t="n">
        <v>20</v>
      </c>
      <c r="O51" s="191" t="s">
        <v>140</v>
      </c>
      <c r="P51" s="192" t="n">
        <v>0</v>
      </c>
      <c r="Q51" s="0"/>
      <c r="R51" s="0"/>
      <c r="S51" s="0"/>
      <c r="T51" s="0"/>
      <c r="Z51" s="0"/>
      <c r="AA51" s="0"/>
      <c r="AB51" s="0"/>
    </row>
    <row r="52" customFormat="false" ht="16.5" hidden="false" customHeight="false" outlineLevel="0" collapsed="false">
      <c r="A52" s="193" t="s">
        <v>148</v>
      </c>
      <c r="B52" s="194" t="n">
        <f aca="false">C12</f>
        <v>110855.850382461</v>
      </c>
      <c r="C52" s="195" t="n">
        <v>0</v>
      </c>
      <c r="D52" s="195" t="n">
        <v>0</v>
      </c>
      <c r="E52" s="196" t="n">
        <f aca="false">SUM(B52:D52)</f>
        <v>110855.850382461</v>
      </c>
      <c r="F52" s="188"/>
      <c r="G52" s="14" t="s">
        <v>149</v>
      </c>
      <c r="H52" s="39"/>
      <c r="I52" s="105" t="n">
        <v>3</v>
      </c>
      <c r="J52" s="95"/>
      <c r="K52" s="53"/>
      <c r="Q52" s="0"/>
      <c r="R52" s="0"/>
      <c r="S52" s="0"/>
      <c r="T52" s="0"/>
      <c r="Z52" s="0"/>
      <c r="AA52" s="0"/>
      <c r="AB52" s="0"/>
    </row>
    <row r="53" customFormat="false" ht="15.75" hidden="false" customHeight="false" outlineLevel="0" collapsed="false">
      <c r="A53" s="193" t="s">
        <v>150</v>
      </c>
      <c r="B53" s="195" t="n">
        <v>25</v>
      </c>
      <c r="C53" s="195" t="n">
        <v>10</v>
      </c>
      <c r="D53" s="195" t="n">
        <v>20</v>
      </c>
      <c r="E53" s="197" t="n">
        <f aca="false">MAX(B53:D53)</f>
        <v>25</v>
      </c>
      <c r="F53" s="39"/>
      <c r="G53" s="14" t="s">
        <v>151</v>
      </c>
      <c r="H53" s="15"/>
      <c r="I53" s="108" t="n">
        <v>5</v>
      </c>
      <c r="J53" s="95"/>
      <c r="K53" s="53"/>
      <c r="M53" s="85" t="s">
        <v>152</v>
      </c>
      <c r="N53" s="87"/>
      <c r="O53" s="90"/>
      <c r="P53" s="89"/>
      <c r="Q53" s="0"/>
      <c r="R53" s="0"/>
      <c r="S53" s="0"/>
      <c r="T53" s="0"/>
      <c r="Z53" s="0"/>
      <c r="AA53" s="0"/>
      <c r="AB53" s="0"/>
    </row>
    <row r="54" customFormat="false" ht="15.75" hidden="false" customHeight="false" outlineLevel="0" collapsed="false">
      <c r="A54" s="193" t="s">
        <v>153</v>
      </c>
      <c r="B54" s="180" t="n">
        <v>44408</v>
      </c>
      <c r="C54" s="180" t="n">
        <v>40390</v>
      </c>
      <c r="D54" s="180" t="n">
        <v>44043</v>
      </c>
      <c r="E54" s="198" t="n">
        <f aca="false">MAX(B54:D54)</f>
        <v>44408</v>
      </c>
      <c r="F54" s="39"/>
      <c r="G54" s="14" t="s">
        <v>154</v>
      </c>
      <c r="H54" s="15"/>
      <c r="I54" s="108" t="n">
        <v>2</v>
      </c>
      <c r="J54" s="95"/>
      <c r="K54" s="53"/>
      <c r="M54" s="14"/>
      <c r="N54" s="92"/>
      <c r="O54" s="95"/>
      <c r="P54" s="53"/>
      <c r="Q54" s="0"/>
      <c r="R54" s="0"/>
      <c r="S54" s="0"/>
      <c r="T54" s="0"/>
      <c r="Z54" s="0"/>
      <c r="AA54" s="0"/>
      <c r="AB54" s="0"/>
    </row>
    <row r="55" customFormat="false" ht="15.75" hidden="false" customHeight="false" outlineLevel="0" collapsed="false">
      <c r="A55" s="193" t="s">
        <v>155</v>
      </c>
      <c r="B55" s="199" t="n">
        <f aca="false">Debt!F9</f>
        <v>8.62</v>
      </c>
      <c r="C55" s="199" t="e">
        <f aca="false">Debt!L9</f>
        <v>#DIV/0!</v>
      </c>
      <c r="D55" s="199" t="e">
        <f aca="false">Debt!R9</f>
        <v>#DIV/0!</v>
      </c>
      <c r="E55" s="200"/>
      <c r="F55" s="39"/>
      <c r="G55" s="14" t="s">
        <v>156</v>
      </c>
      <c r="H55" s="15"/>
      <c r="I55" s="105" t="n">
        <v>0</v>
      </c>
      <c r="J55" s="95"/>
      <c r="K55" s="53"/>
      <c r="M55" s="14" t="s">
        <v>157</v>
      </c>
      <c r="N55" s="39"/>
      <c r="O55" s="201" t="n">
        <v>0.35</v>
      </c>
      <c r="P55" s="53"/>
      <c r="Q55" s="0"/>
      <c r="R55" s="0"/>
      <c r="S55" s="0"/>
      <c r="T55" s="0"/>
      <c r="Z55" s="0"/>
      <c r="AA55" s="0"/>
      <c r="AB55" s="0"/>
    </row>
    <row r="56" customFormat="false" ht="15.75" hidden="false" customHeight="false" outlineLevel="0" collapsed="false">
      <c r="A56" s="193"/>
      <c r="B56" s="39"/>
      <c r="C56" s="39"/>
      <c r="D56" s="39"/>
      <c r="E56" s="196"/>
      <c r="F56" s="39"/>
      <c r="G56" s="14" t="s">
        <v>158</v>
      </c>
      <c r="H56" s="127"/>
      <c r="I56" s="201" t="n">
        <v>0.02</v>
      </c>
      <c r="J56" s="95"/>
      <c r="K56" s="53"/>
      <c r="M56" s="14" t="s">
        <v>159</v>
      </c>
      <c r="N56" s="39"/>
      <c r="O56" s="129" t="n">
        <v>0.06</v>
      </c>
      <c r="P56" s="53"/>
      <c r="Q56" s="0"/>
      <c r="R56" s="0"/>
      <c r="S56" s="0"/>
      <c r="T56" s="0"/>
      <c r="Z56" s="0"/>
      <c r="AA56" s="0"/>
      <c r="AB56" s="0"/>
    </row>
    <row r="57" customFormat="false" ht="15.75" hidden="false" customHeight="false" outlineLevel="0" collapsed="false">
      <c r="A57" s="52"/>
      <c r="B57" s="39"/>
      <c r="C57" s="39"/>
      <c r="D57" s="39"/>
      <c r="E57" s="196"/>
      <c r="F57" s="39"/>
      <c r="G57" s="14" t="s">
        <v>160</v>
      </c>
      <c r="H57" s="127"/>
      <c r="I57" s="202" t="n">
        <f aca="false">O12*(1-I56)</f>
        <v>190.12</v>
      </c>
      <c r="J57" s="95"/>
      <c r="K57" s="53"/>
      <c r="M57" s="203" t="s">
        <v>161</v>
      </c>
      <c r="N57" s="39"/>
      <c r="O57" s="118" t="n">
        <v>0.0025</v>
      </c>
      <c r="P57" s="178"/>
      <c r="Q57" s="0"/>
      <c r="R57" s="0"/>
      <c r="S57" s="0"/>
      <c r="T57" s="0"/>
      <c r="Z57" s="0"/>
      <c r="AA57" s="0"/>
      <c r="AB57" s="0"/>
    </row>
    <row r="58" customFormat="false" ht="15.75" hidden="false" customHeight="false" outlineLevel="0" collapsed="false">
      <c r="A58" s="204" t="s">
        <v>162</v>
      </c>
      <c r="B58" s="205" t="n">
        <v>0.04</v>
      </c>
      <c r="C58" s="205" t="n">
        <v>0.04</v>
      </c>
      <c r="D58" s="205" t="n">
        <v>0.04</v>
      </c>
      <c r="E58" s="206" t="n">
        <f aca="false">SUMPRODUCT(B58:D58,$B$52:$D$52)/SUM($B$52:$D$52)</f>
        <v>0.04</v>
      </c>
      <c r="F58" s="39"/>
      <c r="G58" s="14" t="s">
        <v>163</v>
      </c>
      <c r="H58" s="39"/>
      <c r="I58" s="20" t="n">
        <f aca="false">I57*I14</f>
        <v>228144</v>
      </c>
      <c r="J58" s="95"/>
      <c r="K58" s="178"/>
      <c r="M58" s="14" t="s">
        <v>164</v>
      </c>
      <c r="N58" s="39"/>
      <c r="O58" s="129" t="n">
        <v>0.03</v>
      </c>
      <c r="P58" s="178"/>
      <c r="Q58" s="0"/>
      <c r="R58" s="0"/>
      <c r="S58" s="0"/>
      <c r="T58" s="0"/>
      <c r="Z58" s="0"/>
      <c r="AA58" s="0"/>
      <c r="AB58" s="0"/>
    </row>
    <row r="59" customFormat="false" ht="15.75" hidden="false" customHeight="false" outlineLevel="0" collapsed="false">
      <c r="A59" s="204" t="s">
        <v>165</v>
      </c>
      <c r="B59" s="207" t="n">
        <v>0.03</v>
      </c>
      <c r="C59" s="207" t="n">
        <v>0.04</v>
      </c>
      <c r="D59" s="207" t="n">
        <v>0.04</v>
      </c>
      <c r="E59" s="208" t="n">
        <f aca="false">SUMPRODUCT(B59:D59,$B$52:$D$52)/SUM($B$52:$D$52)</f>
        <v>0.03</v>
      </c>
      <c r="F59" s="39"/>
      <c r="G59" s="52"/>
      <c r="H59" s="39"/>
      <c r="I59" s="39"/>
      <c r="J59" s="95"/>
      <c r="K59" s="53"/>
      <c r="M59" s="203" t="s">
        <v>166</v>
      </c>
      <c r="N59" s="39"/>
      <c r="O59" s="118" t="n">
        <v>0.01</v>
      </c>
      <c r="P59" s="178"/>
      <c r="Q59" s="0"/>
      <c r="R59" s="0"/>
      <c r="S59" s="0"/>
      <c r="T59" s="0"/>
      <c r="Z59" s="0"/>
      <c r="AA59" s="0"/>
      <c r="AB59" s="0"/>
    </row>
    <row r="60" customFormat="false" ht="15.75" hidden="false" customHeight="false" outlineLevel="0" collapsed="false">
      <c r="A60" s="193" t="s">
        <v>167</v>
      </c>
      <c r="B60" s="209" t="n">
        <f aca="false">Debt!F7</f>
        <v>0.07</v>
      </c>
      <c r="C60" s="209" t="n">
        <f aca="false">Debt!L7</f>
        <v>0.08</v>
      </c>
      <c r="D60" s="209" t="n">
        <f aca="false">Debt!R7</f>
        <v>0.08</v>
      </c>
      <c r="E60" s="206" t="n">
        <f aca="false">SUMPRODUCT(B60:D60,$B$52:$D$52)/SUM($B$52:$D$52)</f>
        <v>0.07</v>
      </c>
      <c r="F60" s="39"/>
      <c r="G60" s="138" t="s">
        <v>168</v>
      </c>
      <c r="H60" s="39"/>
      <c r="I60" s="39"/>
      <c r="J60" s="95"/>
      <c r="K60" s="53"/>
      <c r="M60" s="203" t="s">
        <v>169</v>
      </c>
      <c r="N60" s="39"/>
      <c r="O60" s="210" t="n">
        <v>0</v>
      </c>
      <c r="P60" s="178"/>
      <c r="Q60" s="0"/>
      <c r="R60" s="0"/>
      <c r="S60" s="0"/>
      <c r="T60" s="0"/>
      <c r="W60" s="0"/>
      <c r="X60" s="0"/>
      <c r="Z60" s="0"/>
      <c r="AA60" s="0"/>
      <c r="AB60" s="0"/>
    </row>
    <row r="61" customFormat="false" ht="15.75" hidden="false" customHeight="false" outlineLevel="0" collapsed="false">
      <c r="A61" s="14"/>
      <c r="B61" s="15"/>
      <c r="C61" s="15"/>
      <c r="D61" s="15"/>
      <c r="E61" s="211"/>
      <c r="F61" s="39"/>
      <c r="G61" s="14" t="s">
        <v>149</v>
      </c>
      <c r="H61" s="39"/>
      <c r="I61" s="95" t="n">
        <f aca="false">I20-I52</f>
        <v>17</v>
      </c>
      <c r="J61" s="95"/>
      <c r="K61" s="53"/>
      <c r="M61" s="203" t="s">
        <v>170</v>
      </c>
      <c r="N61" s="39"/>
      <c r="O61" s="118" t="n">
        <v>0</v>
      </c>
      <c r="P61" s="178"/>
      <c r="Q61" s="0"/>
      <c r="R61" s="0"/>
      <c r="S61" s="0"/>
      <c r="T61" s="0"/>
      <c r="Z61" s="0"/>
      <c r="AA61" s="0"/>
      <c r="AB61" s="0"/>
    </row>
    <row r="62" customFormat="false" ht="15.75" hidden="false" customHeight="false" outlineLevel="0" collapsed="false">
      <c r="A62" s="14" t="s">
        <v>171</v>
      </c>
      <c r="B62" s="212" t="n">
        <f aca="false">MAX(Debt!B84:W84)*C62/12</f>
        <v>0</v>
      </c>
      <c r="C62" s="195" t="n">
        <v>0</v>
      </c>
      <c r="D62" s="15" t="s">
        <v>172</v>
      </c>
      <c r="E62" s="213"/>
      <c r="F62" s="39"/>
      <c r="G62" s="14" t="s">
        <v>154</v>
      </c>
      <c r="H62" s="39"/>
      <c r="I62" s="214" t="n">
        <f aca="false">P28</f>
        <v>0.00829896907216495</v>
      </c>
      <c r="J62" s="95"/>
      <c r="K62" s="53"/>
      <c r="M62" s="203" t="s">
        <v>173</v>
      </c>
      <c r="N62" s="39"/>
      <c r="O62" s="210" t="n">
        <v>0</v>
      </c>
      <c r="P62" s="178"/>
      <c r="Q62" s="0"/>
      <c r="R62" s="0"/>
      <c r="S62" s="0"/>
      <c r="T62" s="0"/>
      <c r="Z62" s="0"/>
      <c r="AA62" s="0"/>
      <c r="AB62" s="0"/>
    </row>
    <row r="63" customFormat="false" ht="15.75" hidden="false" customHeight="false" outlineLevel="0" collapsed="false">
      <c r="A63" s="14" t="s">
        <v>174</v>
      </c>
      <c r="B63" s="215" t="n">
        <v>0.02</v>
      </c>
      <c r="C63" s="15"/>
      <c r="D63" s="15"/>
      <c r="E63" s="213"/>
      <c r="F63" s="39"/>
      <c r="G63" s="14" t="s">
        <v>156</v>
      </c>
      <c r="H63" s="15"/>
      <c r="I63" s="105" t="n">
        <v>0</v>
      </c>
      <c r="J63" s="95"/>
      <c r="K63" s="53"/>
      <c r="M63" s="203" t="s">
        <v>175</v>
      </c>
      <c r="N63" s="39"/>
      <c r="O63" s="118" t="n">
        <v>0</v>
      </c>
      <c r="P63" s="178"/>
      <c r="Q63" s="0"/>
      <c r="R63" s="0"/>
      <c r="S63" s="0"/>
      <c r="T63" s="0"/>
      <c r="Z63" s="0"/>
      <c r="AA63" s="0"/>
      <c r="AB63" s="0"/>
    </row>
    <row r="64" customFormat="false" ht="15.75" hidden="false" customHeight="false" outlineLevel="0" collapsed="false">
      <c r="A64" s="14" t="s">
        <v>176</v>
      </c>
      <c r="B64" s="215" t="n">
        <v>0.05</v>
      </c>
      <c r="C64" s="39"/>
      <c r="D64" s="39"/>
      <c r="E64" s="53"/>
      <c r="F64" s="39"/>
      <c r="G64" s="14" t="s">
        <v>158</v>
      </c>
      <c r="H64" s="39"/>
      <c r="I64" s="201" t="n">
        <v>0.02</v>
      </c>
      <c r="J64" s="95"/>
      <c r="K64" s="53"/>
      <c r="M64" s="203" t="s">
        <v>177</v>
      </c>
      <c r="N64" s="39"/>
      <c r="O64" s="210" t="n">
        <v>0</v>
      </c>
      <c r="P64" s="178"/>
      <c r="Q64" s="0"/>
      <c r="R64" s="0"/>
      <c r="S64" s="0"/>
      <c r="T64" s="0"/>
      <c r="Z64" s="0"/>
      <c r="AA64" s="0"/>
      <c r="AB64" s="0"/>
    </row>
    <row r="65" customFormat="false" ht="15.75" hidden="false" customHeight="false" outlineLevel="0" collapsed="false">
      <c r="A65" s="52"/>
      <c r="B65" s="39"/>
      <c r="C65" s="39"/>
      <c r="D65" s="39"/>
      <c r="E65" s="53"/>
      <c r="F65" s="39"/>
      <c r="G65" s="14" t="s">
        <v>160</v>
      </c>
      <c r="H65" s="127"/>
      <c r="I65" s="202" t="n">
        <f aca="false">O12*(1-I64)</f>
        <v>190.12</v>
      </c>
      <c r="J65" s="95"/>
      <c r="K65" s="53"/>
      <c r="M65" s="203" t="s">
        <v>178</v>
      </c>
      <c r="N65" s="39"/>
      <c r="O65" s="118" t="n">
        <v>0</v>
      </c>
      <c r="P65" s="178"/>
      <c r="Q65" s="0"/>
      <c r="R65" s="0"/>
      <c r="S65" s="0"/>
      <c r="T65" s="0"/>
      <c r="Z65" s="0"/>
      <c r="AA65" s="0"/>
      <c r="AB65" s="0"/>
    </row>
    <row r="66" customFormat="false" ht="15.75" hidden="false" customHeight="false" outlineLevel="0" collapsed="false">
      <c r="A66" s="175" t="s">
        <v>25</v>
      </c>
      <c r="B66" s="39"/>
      <c r="C66" s="39"/>
      <c r="D66" s="39"/>
      <c r="E66" s="53"/>
      <c r="F66" s="39"/>
      <c r="G66" s="14" t="s">
        <v>163</v>
      </c>
      <c r="H66" s="39"/>
      <c r="I66" s="20" t="n">
        <f aca="false">I65*I14</f>
        <v>228144</v>
      </c>
      <c r="J66" s="95"/>
      <c r="K66" s="178"/>
      <c r="M66" s="203" t="s">
        <v>179</v>
      </c>
      <c r="N66" s="39"/>
      <c r="O66" s="210" t="n">
        <v>0</v>
      </c>
      <c r="P66" s="178"/>
      <c r="Q66" s="0"/>
      <c r="R66" s="0"/>
      <c r="S66" s="0"/>
      <c r="T66" s="0"/>
      <c r="Z66" s="0"/>
      <c r="AA66" s="0"/>
      <c r="AB66" s="0"/>
    </row>
    <row r="67" customFormat="false" ht="15.75" hidden="false" customHeight="false" outlineLevel="0" collapsed="false">
      <c r="A67" s="179" t="s">
        <v>180</v>
      </c>
      <c r="B67" s="180" t="n">
        <v>37104</v>
      </c>
      <c r="C67" s="39"/>
      <c r="D67" s="39"/>
      <c r="E67" s="53"/>
      <c r="F67" s="39"/>
      <c r="G67" s="52"/>
      <c r="H67" s="39"/>
      <c r="I67" s="39"/>
      <c r="J67" s="95"/>
      <c r="K67" s="178"/>
      <c r="M67" s="203" t="s">
        <v>181</v>
      </c>
      <c r="N67" s="39"/>
      <c r="O67" s="118" t="n">
        <v>0</v>
      </c>
      <c r="P67" s="178"/>
      <c r="Q67" s="0"/>
      <c r="R67" s="0"/>
      <c r="S67" s="0"/>
      <c r="T67" s="0"/>
      <c r="Z67" s="0"/>
      <c r="AA67" s="0"/>
      <c r="AB67" s="0"/>
    </row>
    <row r="68" customFormat="false" ht="16.5" hidden="false" customHeight="false" outlineLevel="0" collapsed="false">
      <c r="A68" s="14" t="s">
        <v>182</v>
      </c>
      <c r="B68" s="216" t="n">
        <v>1</v>
      </c>
      <c r="C68" s="107" t="n">
        <f aca="false">B68*C11</f>
        <v>0</v>
      </c>
      <c r="D68" s="39"/>
      <c r="E68" s="53"/>
      <c r="F68" s="39"/>
      <c r="G68" s="14" t="s">
        <v>183</v>
      </c>
      <c r="H68" s="15"/>
      <c r="I68" s="108" t="n">
        <v>1</v>
      </c>
      <c r="J68" s="95"/>
      <c r="K68" s="178"/>
      <c r="M68" s="217" t="s">
        <v>184</v>
      </c>
      <c r="N68" s="36"/>
      <c r="O68" s="218" t="n">
        <v>0</v>
      </c>
      <c r="P68" s="219"/>
      <c r="Q68" s="0"/>
      <c r="R68" s="0"/>
      <c r="S68" s="0"/>
      <c r="T68" s="0"/>
      <c r="Z68" s="0"/>
      <c r="AA68" s="0"/>
      <c r="AB68" s="0"/>
    </row>
    <row r="69" customFormat="false" ht="16.5" hidden="false" customHeight="false" outlineLevel="0" collapsed="false">
      <c r="A69" s="35" t="s">
        <v>185</v>
      </c>
      <c r="B69" s="220" t="n">
        <f aca="false">1-B68</f>
        <v>0</v>
      </c>
      <c r="C69" s="221" t="n">
        <f aca="false">B69*C11</f>
        <v>0</v>
      </c>
      <c r="D69" s="36"/>
      <c r="E69" s="55"/>
      <c r="F69" s="39"/>
      <c r="G69" s="14" t="s">
        <v>186</v>
      </c>
      <c r="H69" s="39"/>
      <c r="I69" s="201" t="n">
        <v>0.02</v>
      </c>
      <c r="J69" s="95"/>
      <c r="K69" s="178"/>
      <c r="O69" s="0"/>
      <c r="P69" s="0"/>
      <c r="Q69" s="0"/>
      <c r="R69" s="0"/>
      <c r="S69" s="0"/>
      <c r="T69" s="0"/>
      <c r="W69" s="0"/>
      <c r="X69" s="0"/>
      <c r="Y69" s="0"/>
      <c r="Z69" s="0"/>
      <c r="AA69" s="0"/>
      <c r="AB69" s="0"/>
    </row>
    <row r="70" customFormat="false" ht="16.5" hidden="false" customHeight="false" outlineLevel="0" collapsed="false">
      <c r="F70" s="39"/>
      <c r="G70" s="35" t="s">
        <v>1</v>
      </c>
      <c r="H70" s="74"/>
      <c r="I70" s="222" t="n">
        <v>0.03</v>
      </c>
      <c r="J70" s="133"/>
      <c r="K70" s="219"/>
      <c r="Q70" s="0"/>
      <c r="R70" s="0"/>
      <c r="S70" s="0"/>
      <c r="T70" s="0"/>
      <c r="W70" s="0"/>
      <c r="X70" s="0"/>
      <c r="Y70" s="0"/>
      <c r="Z70" s="0"/>
      <c r="AA70" s="0"/>
      <c r="AB70" s="0"/>
    </row>
    <row r="71" customFormat="false" ht="12.75" hidden="false" customHeight="false" outlineLevel="0" collapsed="false">
      <c r="O71" s="0"/>
      <c r="P71" s="0"/>
      <c r="Q71" s="0"/>
      <c r="R71" s="0"/>
      <c r="S71" s="0"/>
      <c r="T71" s="0"/>
      <c r="W71" s="0"/>
      <c r="X71" s="0"/>
      <c r="Y71" s="0"/>
      <c r="Z71" s="0"/>
      <c r="AA71" s="0"/>
      <c r="AB71" s="0"/>
    </row>
    <row r="72" customFormat="false" ht="15.75" hidden="false" customHeight="false" outlineLevel="0" collapsed="false">
      <c r="F72" s="15"/>
      <c r="K72" s="0"/>
      <c r="O72" s="0"/>
      <c r="P72" s="0"/>
      <c r="Q72" s="0"/>
      <c r="R72" s="0"/>
      <c r="S72" s="0"/>
      <c r="T72" s="0"/>
      <c r="W72" s="0"/>
      <c r="X72" s="0"/>
      <c r="Y72" s="0"/>
      <c r="Z72" s="0"/>
      <c r="AA72" s="0"/>
      <c r="AB72" s="0"/>
    </row>
    <row r="73" customFormat="false" ht="15.75" hidden="false" customHeight="false" outlineLevel="0" collapsed="false">
      <c r="F73" s="15"/>
      <c r="K73" s="0"/>
      <c r="L73" s="0"/>
      <c r="O73" s="0"/>
      <c r="P73" s="0"/>
      <c r="Q73" s="0"/>
      <c r="R73" s="0"/>
      <c r="S73" s="0"/>
      <c r="T73" s="0"/>
    </row>
    <row r="74" customFormat="false" ht="12.75" hidden="false" customHeight="false" outlineLevel="0" collapsed="false">
      <c r="F74" s="39"/>
      <c r="K74" s="0"/>
      <c r="L74" s="0"/>
      <c r="Q74" s="0"/>
      <c r="R74" s="0"/>
      <c r="S74" s="0"/>
      <c r="T74" s="0"/>
    </row>
    <row r="75" customFormat="false" ht="12.75" hidden="false" customHeight="false" outlineLevel="0" collapsed="false">
      <c r="F75" s="39"/>
      <c r="K75" s="0"/>
      <c r="L75" s="0"/>
      <c r="Q75" s="0"/>
      <c r="R75" s="0"/>
      <c r="S75" s="0"/>
      <c r="T75" s="0"/>
    </row>
    <row r="76" customFormat="false" ht="12.75" hidden="false" customHeight="false" outlineLevel="0" collapsed="false">
      <c r="F76" s="39"/>
      <c r="K76" s="0"/>
      <c r="L76" s="0"/>
      <c r="P76" s="0"/>
      <c r="Q76" s="0"/>
      <c r="R76" s="0"/>
      <c r="S76" s="0"/>
      <c r="T76" s="0"/>
    </row>
    <row r="77" customFormat="false" ht="12.75" hidden="false" customHeight="false" outlineLevel="0" collapsed="false">
      <c r="F77" s="39"/>
      <c r="K77" s="0"/>
      <c r="L77" s="0"/>
      <c r="P77" s="0"/>
      <c r="Q77" s="0"/>
      <c r="R77" s="0"/>
      <c r="S77" s="0"/>
      <c r="T77" s="0"/>
    </row>
    <row r="78" customFormat="false" ht="12.75" hidden="false" customHeight="false" outlineLevel="0" collapsed="false">
      <c r="F78" s="39"/>
      <c r="K78" s="0"/>
      <c r="L78" s="0"/>
      <c r="P78" s="0"/>
      <c r="Q78" s="0"/>
      <c r="R78" s="0"/>
      <c r="S78" s="0"/>
      <c r="T78" s="0"/>
    </row>
    <row r="79" customFormat="false" ht="12.75" hidden="false" customHeight="false" outlineLevel="0" collapsed="false">
      <c r="F79" s="39"/>
      <c r="K79" s="0"/>
      <c r="L79" s="0"/>
      <c r="P79" s="0"/>
      <c r="Q79" s="0"/>
      <c r="R79" s="0"/>
      <c r="S79" s="0"/>
      <c r="T79" s="0"/>
    </row>
    <row r="80" customFormat="false" ht="12.75" hidden="false" customHeight="false" outlineLevel="0" collapsed="false">
      <c r="F80" s="39"/>
      <c r="K80" s="0"/>
      <c r="L80" s="0"/>
      <c r="P80" s="0"/>
      <c r="Q80" s="0"/>
      <c r="R80" s="0"/>
      <c r="S80" s="0"/>
      <c r="T80" s="0"/>
    </row>
    <row r="81" customFormat="false" ht="12.75" hidden="false" customHeight="false" outlineLevel="0" collapsed="false">
      <c r="F81" s="39"/>
      <c r="K81" s="0"/>
      <c r="L81" s="0"/>
      <c r="P81" s="0"/>
      <c r="Q81" s="0"/>
      <c r="R81" s="0"/>
      <c r="S81" s="0"/>
      <c r="T81" s="0"/>
    </row>
    <row r="82" customFormat="false" ht="15.75" hidden="false" customHeight="false" outlineLevel="0" collapsed="false">
      <c r="F82" s="5"/>
      <c r="L82" s="0"/>
      <c r="P82" s="0"/>
      <c r="Q82" s="0"/>
      <c r="R82" s="0"/>
      <c r="S82" s="0"/>
      <c r="T82" s="0"/>
    </row>
    <row r="83" customFormat="false" ht="12.75" hidden="false" customHeight="false" outlineLevel="0" collapsed="false">
      <c r="K83" s="0"/>
      <c r="L83" s="0"/>
      <c r="P83" s="0"/>
      <c r="Q83" s="0"/>
      <c r="R83" s="0"/>
      <c r="S83" s="0"/>
      <c r="T83" s="0"/>
    </row>
    <row r="84" customFormat="false" ht="15.75" hidden="false" customHeight="false" outlineLevel="0" collapsed="false">
      <c r="F84" s="15"/>
      <c r="L84" s="0"/>
      <c r="P84" s="0"/>
      <c r="Q84" s="0"/>
      <c r="R84" s="0"/>
      <c r="S84" s="0"/>
      <c r="T84" s="0"/>
    </row>
    <row r="85" customFormat="false" ht="15.75" hidden="false" customHeight="false" outlineLevel="0" collapsed="false">
      <c r="F85" s="15"/>
      <c r="K85" s="0"/>
      <c r="L85" s="0"/>
      <c r="P85" s="0"/>
      <c r="Q85" s="0"/>
      <c r="R85" s="0"/>
      <c r="S85" s="0"/>
      <c r="T85" s="0"/>
    </row>
    <row r="86" customFormat="false" ht="15.75" hidden="false" customHeight="false" outlineLevel="0" collapsed="false">
      <c r="F86" s="15"/>
      <c r="K86" s="0"/>
      <c r="L86" s="0"/>
      <c r="P86" s="0"/>
      <c r="Q86" s="0"/>
      <c r="R86" s="0"/>
      <c r="S86" s="0"/>
      <c r="T86" s="0"/>
    </row>
    <row r="87" customFormat="false" ht="15.75" hidden="false" customHeight="false" outlineLevel="0" collapsed="false">
      <c r="F87" s="15"/>
      <c r="L87" s="0"/>
      <c r="P87" s="0"/>
      <c r="Q87" s="0"/>
      <c r="R87" s="0"/>
      <c r="S87" s="0"/>
      <c r="T87" s="0"/>
    </row>
    <row r="88" customFormat="false" ht="12.75" hidden="false" customHeight="false" outlineLevel="0" collapsed="false">
      <c r="F88" s="39"/>
      <c r="K88" s="0"/>
      <c r="L88" s="0"/>
      <c r="P88" s="0"/>
    </row>
    <row r="89" customFormat="false" ht="15.75" hidden="false" customHeight="false" outlineLevel="0" collapsed="false">
      <c r="F89" s="15"/>
      <c r="K89" s="0"/>
      <c r="L89" s="0"/>
      <c r="P89" s="0"/>
    </row>
    <row r="90" customFormat="false" ht="15.75" hidden="false" customHeight="false" outlineLevel="0" collapsed="false">
      <c r="F90" s="15"/>
      <c r="K90" s="0"/>
      <c r="L90" s="0"/>
      <c r="P90" s="0"/>
    </row>
    <row r="91" customFormat="false" ht="12.75" hidden="false" customHeight="false" outlineLevel="0" collapsed="false">
      <c r="F91" s="39"/>
      <c r="K91" s="0"/>
      <c r="L91" s="0"/>
    </row>
    <row r="92" customFormat="false" ht="12.75" hidden="false" customHeight="false" outlineLevel="0" collapsed="false">
      <c r="F92" s="39"/>
      <c r="K92" s="0"/>
      <c r="L92" s="0"/>
    </row>
    <row r="93" customFormat="false" ht="15.75" hidden="false" customHeight="false" outlineLevel="0" collapsed="false">
      <c r="F93" s="15"/>
      <c r="K93" s="0"/>
      <c r="L93" s="0"/>
    </row>
    <row r="94" customFormat="false" ht="15.75" hidden="false" customHeight="false" outlineLevel="0" collapsed="false">
      <c r="F94" s="15"/>
      <c r="K94" s="0"/>
      <c r="L94" s="0"/>
    </row>
    <row r="95" customFormat="false" ht="15.75" hidden="false" customHeight="false" outlineLevel="0" collapsed="false">
      <c r="F95" s="15"/>
      <c r="K95" s="0"/>
      <c r="L95" s="0"/>
    </row>
    <row r="96" customFormat="false" ht="15.75" hidden="false" customHeight="false" outlineLevel="0" collapsed="false">
      <c r="D96" s="0"/>
      <c r="E96" s="0"/>
      <c r="F96" s="18"/>
      <c r="K96" s="0"/>
      <c r="L96" s="0"/>
    </row>
    <row r="97" customFormat="false" ht="15.75" hidden="false" customHeight="false" outlineLevel="0" collapsed="false">
      <c r="D97" s="0"/>
      <c r="E97" s="0"/>
      <c r="F97" s="153"/>
      <c r="J97" s="159"/>
      <c r="K97" s="0"/>
      <c r="L97" s="0"/>
    </row>
    <row r="98" customFormat="false" ht="15.75" hidden="false" customHeight="false" outlineLevel="0" collapsed="false">
      <c r="D98" s="0"/>
      <c r="E98" s="0"/>
      <c r="F98" s="153"/>
      <c r="J98" s="223"/>
      <c r="K98" s="0"/>
      <c r="L98" s="0"/>
    </row>
    <row r="99" customFormat="false" ht="15.75" hidden="false" customHeight="false" outlineLevel="0" collapsed="false">
      <c r="D99" s="0"/>
      <c r="E99" s="0"/>
      <c r="F99" s="153"/>
      <c r="L99" s="0"/>
    </row>
    <row r="100" customFormat="false" ht="15.75" hidden="false" customHeight="false" outlineLevel="0" collapsed="false">
      <c r="D100" s="0"/>
      <c r="E100" s="0"/>
      <c r="F100" s="153"/>
      <c r="J100" s="223"/>
      <c r="K100" s="0"/>
      <c r="L100" s="0"/>
    </row>
    <row r="101" customFormat="false" ht="12.75" hidden="false" customHeight="false" outlineLevel="0" collapsed="false">
      <c r="D101" s="0"/>
      <c r="E101" s="0"/>
      <c r="G101" s="0"/>
      <c r="H101" s="0"/>
      <c r="I101" s="0"/>
      <c r="J101" s="0"/>
      <c r="K101" s="0"/>
      <c r="L101" s="0"/>
    </row>
    <row r="102" customFormat="false" ht="12.75" hidden="false" customHeight="false" outlineLevel="0" collapsed="false">
      <c r="D102" s="0"/>
      <c r="E102" s="0"/>
      <c r="G102" s="0"/>
      <c r="H102" s="0"/>
      <c r="I102" s="0"/>
      <c r="J102" s="0"/>
      <c r="K102" s="0"/>
      <c r="L102" s="0"/>
      <c r="M102" s="0"/>
      <c r="N102" s="0"/>
      <c r="O102" s="0"/>
    </row>
    <row r="103" customFormat="false" ht="12.75" hidden="false" customHeight="false" outlineLevel="0" collapsed="false">
      <c r="G103" s="0"/>
      <c r="H103" s="0"/>
      <c r="I103" s="0"/>
      <c r="J103" s="0"/>
      <c r="K103" s="0"/>
      <c r="L103" s="0"/>
      <c r="M103" s="0"/>
      <c r="N103" s="0"/>
      <c r="O103" s="0"/>
    </row>
    <row r="104" customFormat="false" ht="12.75" hidden="false" customHeight="false" outlineLevel="0" collapsed="false">
      <c r="G104" s="0"/>
      <c r="H104" s="0"/>
      <c r="I104" s="0"/>
      <c r="J104" s="0"/>
      <c r="K104" s="0"/>
      <c r="L104" s="0"/>
      <c r="M104" s="0"/>
      <c r="N104" s="0"/>
      <c r="O104" s="0"/>
    </row>
    <row r="105" customFormat="false" ht="12.75" hidden="false" customHeight="false" outlineLevel="0" collapsed="false">
      <c r="G105" s="0"/>
      <c r="H105" s="0"/>
      <c r="I105" s="0"/>
      <c r="J105" s="0"/>
      <c r="K105" s="0"/>
      <c r="L105" s="0"/>
      <c r="M105" s="0"/>
      <c r="N105" s="0"/>
      <c r="O105" s="0"/>
    </row>
    <row r="106" customFormat="false" ht="12.75" hidden="false" customHeight="false" outlineLevel="0" collapsed="false">
      <c r="G106" s="0"/>
      <c r="H106" s="0"/>
      <c r="I106" s="0"/>
      <c r="J106" s="0"/>
      <c r="K106" s="0"/>
      <c r="L106" s="0"/>
      <c r="M106" s="0"/>
      <c r="N106" s="0"/>
      <c r="O106" s="0"/>
    </row>
    <row r="107" customFormat="false" ht="12.75" hidden="false" customHeight="false" outlineLevel="0" collapsed="false">
      <c r="L107" s="0"/>
      <c r="M107" s="0"/>
      <c r="N107" s="0"/>
      <c r="O107" s="0"/>
    </row>
    <row r="108" customFormat="false" ht="12.75" hidden="false" customHeight="false" outlineLevel="0" collapsed="false">
      <c r="G108" s="0"/>
      <c r="H108" s="0"/>
      <c r="I108" s="0"/>
      <c r="J108" s="0"/>
      <c r="K108" s="0"/>
      <c r="L108" s="0"/>
      <c r="M108" s="0"/>
      <c r="N108" s="0"/>
      <c r="O108" s="0"/>
    </row>
    <row r="109" customFormat="false" ht="12.75" hidden="false" customHeight="false" outlineLevel="0" collapsed="false">
      <c r="G109" s="0"/>
      <c r="H109" s="0"/>
      <c r="I109" s="0"/>
      <c r="J109" s="0"/>
      <c r="K109" s="0"/>
      <c r="L109" s="0"/>
      <c r="M109" s="0"/>
      <c r="N109" s="0"/>
      <c r="O109" s="0"/>
    </row>
    <row r="110" customFormat="false" ht="12.75" hidden="false" customHeight="false" outlineLevel="0" collapsed="false">
      <c r="G110" s="0"/>
      <c r="H110" s="0"/>
      <c r="I110" s="0"/>
      <c r="J110" s="0"/>
      <c r="K110" s="0"/>
      <c r="L110" s="0"/>
      <c r="M110" s="0"/>
      <c r="N110" s="0"/>
      <c r="O110" s="0"/>
    </row>
    <row r="111" customFormat="false" ht="12.75" hidden="false" customHeight="false" outlineLevel="0" collapsed="false">
      <c r="G111" s="0"/>
      <c r="H111" s="0"/>
      <c r="I111" s="0"/>
      <c r="J111" s="0"/>
      <c r="K111" s="0"/>
      <c r="L111" s="0"/>
      <c r="M111" s="0"/>
      <c r="N111" s="0"/>
      <c r="O111" s="0"/>
    </row>
    <row r="112" customFormat="false" ht="12.75" hidden="false" customHeight="false" outlineLevel="0" collapsed="false">
      <c r="G112" s="0"/>
      <c r="H112" s="0"/>
      <c r="I112" s="0"/>
      <c r="J112" s="0"/>
      <c r="K112" s="0"/>
      <c r="L112" s="0"/>
      <c r="M112" s="0"/>
      <c r="N112" s="0"/>
      <c r="O112" s="0"/>
    </row>
    <row r="113" customFormat="false" ht="12.75" hidden="false" customHeight="false" outlineLevel="0" collapsed="false">
      <c r="G113" s="0"/>
      <c r="H113" s="0"/>
      <c r="I113" s="0"/>
      <c r="J113" s="0"/>
      <c r="K113" s="0"/>
      <c r="L113" s="0"/>
      <c r="M113" s="0"/>
      <c r="N113" s="0"/>
      <c r="O113" s="0"/>
    </row>
    <row r="114" customFormat="false" ht="12.75" hidden="false" customHeight="false" outlineLevel="0" collapsed="false">
      <c r="K114" s="0"/>
      <c r="L114" s="0"/>
      <c r="M114" s="0"/>
      <c r="N114" s="0"/>
      <c r="O114" s="0"/>
    </row>
    <row r="115" customFormat="false" ht="12.75" hidden="false" customHeight="false" outlineLevel="0" collapsed="false">
      <c r="D115" s="0"/>
      <c r="E115" s="0"/>
      <c r="K115" s="0"/>
      <c r="L115" s="0"/>
      <c r="M115" s="0"/>
      <c r="N115" s="0"/>
      <c r="O115" s="0"/>
    </row>
    <row r="116" customFormat="false" ht="15.75" hidden="false" customHeight="false" outlineLevel="0" collapsed="false">
      <c r="J116" s="223"/>
      <c r="K116" s="0"/>
      <c r="L116" s="0"/>
      <c r="M116" s="0"/>
      <c r="N116" s="0"/>
      <c r="O116" s="0"/>
    </row>
    <row r="117" customFormat="false" ht="15.75" hidden="false" customHeight="false" outlineLevel="0" collapsed="false">
      <c r="J117" s="223"/>
      <c r="K117" s="0"/>
      <c r="L117" s="0"/>
      <c r="M117" s="0"/>
      <c r="N117" s="0"/>
      <c r="O117" s="0"/>
    </row>
    <row r="118" customFormat="false" ht="15.75" hidden="false" customHeight="false" outlineLevel="0" collapsed="false">
      <c r="J118" s="223"/>
      <c r="K118" s="0"/>
      <c r="L118" s="0"/>
      <c r="M118" s="0"/>
      <c r="N118" s="0"/>
      <c r="O118" s="0"/>
    </row>
    <row r="119" customFormat="false" ht="15.75" hidden="false" customHeight="false" outlineLevel="0" collapsed="false">
      <c r="J119" s="223"/>
      <c r="K119" s="0"/>
      <c r="L119" s="0"/>
      <c r="M119" s="0"/>
      <c r="N119" s="0"/>
      <c r="O119" s="0"/>
    </row>
    <row r="120" customFormat="false" ht="15.75" hidden="false" customHeight="false" outlineLevel="0" collapsed="false">
      <c r="J120" s="223"/>
      <c r="K120" s="0"/>
      <c r="L120" s="0"/>
      <c r="M120" s="0"/>
      <c r="N120" s="0"/>
      <c r="O120" s="0"/>
    </row>
    <row r="121" customFormat="false" ht="15.75" hidden="false" customHeight="false" outlineLevel="0" collapsed="false">
      <c r="J121" s="223"/>
      <c r="K121" s="0"/>
      <c r="L121" s="0"/>
      <c r="M121" s="0"/>
      <c r="N121" s="0"/>
      <c r="O121" s="0"/>
    </row>
    <row r="122" customFormat="false" ht="15.75" hidden="false" customHeight="false" outlineLevel="0" collapsed="false">
      <c r="J122" s="223"/>
      <c r="K122" s="0"/>
      <c r="L122" s="0"/>
      <c r="M122" s="0"/>
      <c r="N122" s="0"/>
      <c r="O122" s="0"/>
    </row>
    <row r="123" customFormat="false" ht="15.75" hidden="false" customHeight="false" outlineLevel="0" collapsed="false">
      <c r="J123" s="223"/>
      <c r="K123" s="0"/>
      <c r="L123" s="0"/>
      <c r="M123" s="0"/>
      <c r="N123" s="0"/>
      <c r="O123" s="0"/>
    </row>
    <row r="124" customFormat="false" ht="12.75" hidden="false" customHeight="false" outlineLevel="0" collapsed="false">
      <c r="K124" s="0"/>
      <c r="L124" s="0"/>
      <c r="M124" s="0"/>
      <c r="N124" s="0"/>
      <c r="O124" s="0"/>
    </row>
    <row r="128" customFormat="false" ht="12.75" hidden="false" customHeight="false" outlineLevel="0" collapsed="false"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</row>
    <row r="129" customFormat="false" ht="12.75" hidden="false" customHeight="false" outlineLevel="0" collapsed="false"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</row>
    <row r="130" customFormat="false" ht="15.75" hidden="false" customHeight="false" outlineLevel="0" collapsed="false">
      <c r="J130" s="0"/>
      <c r="K130" s="94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</row>
    <row r="131" customFormat="false" ht="12.75" hidden="false" customHeight="false" outlineLevel="0" collapsed="false">
      <c r="J131" s="0"/>
      <c r="K131" s="39"/>
      <c r="L131" s="39"/>
      <c r="M131" s="224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</row>
    <row r="132" customFormat="false" ht="12.75" hidden="false" customHeight="false" outlineLevel="0" collapsed="false">
      <c r="J132" s="0"/>
      <c r="K132" s="39"/>
      <c r="L132" s="39"/>
      <c r="M132" s="224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</row>
    <row r="133" customFormat="false" ht="12.75" hidden="false" customHeight="false" outlineLevel="0" collapsed="false">
      <c r="J133" s="0"/>
      <c r="K133" s="39"/>
      <c r="L133" s="39"/>
      <c r="M133" s="224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</row>
    <row r="134" customFormat="false" ht="15.75" hidden="false" customHeight="false" outlineLevel="0" collapsed="false">
      <c r="J134" s="0"/>
      <c r="K134" s="39"/>
      <c r="L134" s="39"/>
      <c r="M134" s="225"/>
      <c r="N134" s="226"/>
      <c r="O134" s="226"/>
      <c r="P134" s="39"/>
      <c r="Q134" s="39"/>
      <c r="R134" s="39"/>
      <c r="S134" s="39"/>
      <c r="T134" s="39"/>
      <c r="U134" s="39"/>
      <c r="V134" s="39"/>
      <c r="W134" s="39"/>
      <c r="X134" s="39"/>
      <c r="Y134" s="39"/>
    </row>
    <row r="135" customFormat="false" ht="15.75" hidden="false" customHeight="false" outlineLevel="0" collapsed="false">
      <c r="J135" s="0"/>
      <c r="K135" s="226"/>
      <c r="L135" s="226"/>
      <c r="M135" s="72"/>
      <c r="N135" s="227"/>
      <c r="O135" s="227"/>
      <c r="P135" s="39"/>
      <c r="Q135" s="39"/>
      <c r="R135" s="39"/>
      <c r="S135" s="39"/>
      <c r="T135" s="39"/>
      <c r="U135" s="39"/>
      <c r="V135" s="39"/>
      <c r="W135" s="39"/>
      <c r="X135" s="39"/>
      <c r="Y135" s="39"/>
    </row>
    <row r="136" customFormat="false" ht="15.75" hidden="false" customHeight="false" outlineLevel="0" collapsed="false">
      <c r="J136" s="0"/>
      <c r="K136" s="227"/>
      <c r="L136" s="227"/>
      <c r="M136" s="228"/>
      <c r="N136" s="229"/>
      <c r="O136" s="229"/>
      <c r="P136" s="39"/>
      <c r="Q136" s="39"/>
      <c r="R136" s="39"/>
      <c r="S136" s="39"/>
      <c r="T136" s="39"/>
      <c r="U136" s="39"/>
      <c r="V136" s="39"/>
      <c r="W136" s="39"/>
      <c r="X136" s="39"/>
      <c r="Y136" s="39"/>
    </row>
    <row r="137" customFormat="false" ht="15.75" hidden="false" customHeight="false" outlineLevel="0" collapsed="false">
      <c r="J137" s="0"/>
      <c r="K137" s="229"/>
      <c r="L137" s="229"/>
      <c r="M137" s="228"/>
      <c r="N137" s="229"/>
      <c r="O137" s="229"/>
      <c r="P137" s="39"/>
      <c r="Q137" s="39"/>
      <c r="R137" s="39"/>
      <c r="S137" s="39"/>
      <c r="T137" s="39"/>
      <c r="U137" s="39"/>
      <c r="V137" s="39"/>
      <c r="W137" s="39"/>
      <c r="X137" s="39"/>
      <c r="Y137" s="39"/>
    </row>
    <row r="138" customFormat="false" ht="15.75" hidden="false" customHeight="false" outlineLevel="0" collapsed="false">
      <c r="J138" s="0"/>
      <c r="K138" s="229"/>
      <c r="L138" s="22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</row>
    <row r="139" customFormat="false" ht="12.75" hidden="false" customHeight="false" outlineLevel="0" collapsed="false">
      <c r="J139" s="0"/>
      <c r="K139" s="39"/>
      <c r="L139" s="39"/>
    </row>
    <row r="140" customFormat="false" ht="12.75" hidden="false" customHeight="false" outlineLevel="0" collapsed="false">
      <c r="J140" s="0"/>
    </row>
    <row r="141" customFormat="false" ht="15.75" hidden="false" customHeight="false" outlineLevel="0" collapsed="false">
      <c r="J141" s="0"/>
      <c r="K141" s="94"/>
    </row>
    <row r="142" customFormat="false" ht="12.75" hidden="false" customHeight="false" outlineLevel="0" collapsed="false">
      <c r="J142" s="0"/>
      <c r="K142" s="39"/>
    </row>
    <row r="143" customFormat="false" ht="12.75" hidden="false" customHeight="false" outlineLevel="0" collapsed="false">
      <c r="J143" s="0"/>
      <c r="K143" s="39"/>
    </row>
    <row r="144" customFormat="false" ht="12.75" hidden="false" customHeight="false" outlineLevel="0" collapsed="false">
      <c r="J144" s="0"/>
      <c r="K144" s="39"/>
    </row>
    <row r="145" customFormat="false" ht="12.75" hidden="false" customHeight="false" outlineLevel="0" collapsed="false">
      <c r="J145" s="0"/>
      <c r="K145" s="39"/>
    </row>
    <row r="146" customFormat="false" ht="12.75" hidden="false" customHeight="false" outlineLevel="0" collapsed="false">
      <c r="J146" s="0"/>
      <c r="K146" s="39"/>
    </row>
    <row r="147" customFormat="false" ht="12.75" hidden="false" customHeight="false" outlineLevel="0" collapsed="false">
      <c r="J147" s="0"/>
      <c r="K147" s="39"/>
    </row>
    <row r="148" customFormat="false" ht="15.75" hidden="false" customHeight="false" outlineLevel="0" collapsed="false">
      <c r="J148" s="0"/>
      <c r="K148" s="226"/>
    </row>
    <row r="149" customFormat="false" ht="15.75" hidden="false" customHeight="false" outlineLevel="0" collapsed="false">
      <c r="J149" s="0"/>
      <c r="K149" s="227"/>
    </row>
    <row r="150" customFormat="false" ht="15.75" hidden="false" customHeight="false" outlineLevel="0" collapsed="false">
      <c r="J150" s="0"/>
      <c r="K150" s="229"/>
    </row>
    <row r="151" customFormat="false" ht="15.75" hidden="false" customHeight="false" outlineLevel="0" collapsed="false">
      <c r="J151" s="0"/>
      <c r="K151" s="229"/>
    </row>
    <row r="152" customFormat="false" ht="12.75" hidden="false" customHeight="false" outlineLevel="0" collapsed="false">
      <c r="J152" s="0"/>
    </row>
    <row r="153" customFormat="false" ht="12.75" hidden="false" customHeight="false" outlineLevel="0" collapsed="false">
      <c r="J153" s="0"/>
    </row>
    <row r="154" customFormat="false" ht="12.75" hidden="false" customHeight="false" outlineLevel="0" collapsed="false">
      <c r="J154" s="0"/>
    </row>
    <row r="155" customFormat="false" ht="12.75" hidden="false" customHeight="false" outlineLevel="0" collapsed="false">
      <c r="J155" s="0"/>
    </row>
    <row r="156" customFormat="false" ht="12.75" hidden="false" customHeight="false" outlineLevel="0" collapsed="false">
      <c r="J156" s="0"/>
    </row>
    <row r="157" customFormat="false" ht="12.75" hidden="false" customHeight="false" outlineLevel="0" collapsed="false">
      <c r="G157" s="0"/>
      <c r="H157" s="0"/>
      <c r="I157" s="0"/>
      <c r="J157" s="0"/>
    </row>
    <row r="158" customFormat="false" ht="12.75" hidden="false" customHeight="false" outlineLevel="0" collapsed="false">
      <c r="G158" s="0"/>
      <c r="H158" s="0"/>
      <c r="I158" s="0"/>
    </row>
    <row r="159" customFormat="false" ht="12.75" hidden="false" customHeight="false" outlineLevel="0" collapsed="false">
      <c r="D159" s="0"/>
      <c r="E159" s="0"/>
      <c r="G159" s="0"/>
      <c r="H159" s="0"/>
      <c r="I159" s="0"/>
    </row>
    <row r="160" customFormat="false" ht="12.75" hidden="false" customHeight="false" outlineLevel="0" collapsed="false">
      <c r="D160" s="0"/>
      <c r="E160" s="0"/>
      <c r="G160" s="0"/>
      <c r="H160" s="0"/>
      <c r="I160" s="0"/>
    </row>
    <row r="161" customFormat="false" ht="12.75" hidden="false" customHeight="false" outlineLevel="0" collapsed="false">
      <c r="D161" s="0"/>
      <c r="E161" s="0"/>
      <c r="G161" s="0"/>
      <c r="H161" s="0"/>
      <c r="I161" s="0"/>
    </row>
    <row r="162" customFormat="false" ht="12.75" hidden="false" customHeight="false" outlineLevel="0" collapsed="false">
      <c r="D162" s="0"/>
      <c r="E162" s="0"/>
      <c r="G162" s="0"/>
      <c r="H162" s="0"/>
      <c r="I162" s="0"/>
    </row>
    <row r="165" customFormat="false" ht="12.75" hidden="false" customHeight="false" outlineLevel="0" collapsed="false">
      <c r="G165" s="0"/>
      <c r="H165" s="0"/>
      <c r="I165" s="0"/>
    </row>
    <row r="166" customFormat="false" ht="12.75" hidden="false" customHeight="false" outlineLevel="0" collapsed="false">
      <c r="G166" s="0"/>
      <c r="H166" s="0"/>
      <c r="I166" s="0"/>
    </row>
    <row r="167" customFormat="false" ht="12.75" hidden="false" customHeight="false" outlineLevel="0" collapsed="false">
      <c r="G167" s="0"/>
      <c r="H167" s="0"/>
      <c r="I167" s="0"/>
    </row>
    <row r="168" customFormat="false" ht="12.75" hidden="false" customHeight="false" outlineLevel="0" collapsed="false">
      <c r="G168" s="0"/>
      <c r="H168" s="0"/>
      <c r="I168" s="0"/>
    </row>
    <row r="169" customFormat="false" ht="12.75" hidden="false" customHeight="false" outlineLevel="0" collapsed="false">
      <c r="G169" s="0"/>
      <c r="H169" s="0"/>
      <c r="I169" s="0"/>
    </row>
    <row r="170" customFormat="false" ht="12.75" hidden="false" customHeight="false" outlineLevel="0" collapsed="false">
      <c r="G170" s="0"/>
      <c r="H170" s="0"/>
      <c r="I170" s="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R39"/>
  <sheetViews>
    <sheetView showFormulas="false" showGridLines="true" showRowColHeaders="true" showZeros="true" rightToLeft="false" tabSelected="false" showOutlineSymbols="true" defaultGridColor="true" view="normal" topLeftCell="A33" colorId="64" zoomScale="75" zoomScaleNormal="75" zoomScalePageLayoutView="100" workbookViewId="0">
      <selection pane="topLeft" activeCell="D22" activeCellId="0" sqref="D22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5" width="9.14"/>
    <col collapsed="false" customWidth="true" hidden="false" outlineLevel="0" max="2" min="2" style="5" width="45.13"/>
    <col collapsed="false" customWidth="true" hidden="false" outlineLevel="0" max="3" min="3" style="5" width="3.7"/>
    <col collapsed="false" customWidth="true" hidden="false" outlineLevel="0" max="7" min="4" style="5" width="9.85"/>
    <col collapsed="false" customWidth="true" hidden="false" outlineLevel="0" max="9" min="8" style="5" width="11.56"/>
    <col collapsed="false" customWidth="true" hidden="false" outlineLevel="0" max="10" min="10" style="5" width="10.28"/>
    <col collapsed="false" customWidth="true" hidden="false" outlineLevel="0" max="24" min="11" style="5" width="9.85"/>
    <col collapsed="false" customWidth="false" hidden="false" outlineLevel="0" max="257" min="25" style="5" width="9.28"/>
  </cols>
  <sheetData>
    <row r="2" customFormat="false" ht="18.75" hidden="false" customHeight="false" outlineLevel="0" collapsed="false">
      <c r="B2" s="6" t="str">
        <f aca="false">Assumptions!A3</f>
        <v>PROJECT NAME: LINCOLN</v>
      </c>
    </row>
    <row r="3" customFormat="false" ht="12" hidden="false" customHeight="true" outlineLevel="0" collapsed="false">
      <c r="B3" s="4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</row>
    <row r="4" customFormat="false" ht="18.75" hidden="false" customHeight="false" outlineLevel="0" collapsed="false">
      <c r="B4" s="2" t="s">
        <v>187</v>
      </c>
      <c r="C4" s="29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</row>
    <row r="5" customFormat="false" ht="18.75" hidden="false" customHeight="false" outlineLevel="0" collapsed="false">
      <c r="B5" s="231" t="s">
        <v>188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</row>
    <row r="6" customFormat="false" ht="15.75" hidden="false" customHeight="false" outlineLevel="0" collapsed="false">
      <c r="B6" s="168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</row>
    <row r="7" customFormat="false" ht="15.75" hidden="false" customHeight="false" outlineLevel="0" collapsed="false">
      <c r="B7" s="3" t="s">
        <v>189</v>
      </c>
      <c r="C7" s="233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customFormat="false" ht="15.75" hidden="false" customHeight="false" outlineLevel="0" collapsed="false">
      <c r="B8" s="234" t="n">
        <f aca="false">Assumptions!O21</f>
        <v>0.03</v>
      </c>
      <c r="C8" s="235"/>
      <c r="D8" s="15"/>
      <c r="E8" s="15"/>
      <c r="F8" s="15"/>
      <c r="G8" s="236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customFormat="false" ht="15.75" hidden="false" customHeight="false" outlineLevel="0" collapsed="false">
      <c r="B9" s="237"/>
      <c r="C9" s="15"/>
      <c r="D9" s="238" t="n">
        <f aca="false">(Assumptions!I19/12)</f>
        <v>0.666666666666667</v>
      </c>
      <c r="E9" s="238" t="n">
        <f aca="false">D9+1</f>
        <v>1.66666666666667</v>
      </c>
      <c r="F9" s="238" t="n">
        <f aca="false">E9+1</f>
        <v>2.66666666666667</v>
      </c>
      <c r="G9" s="238" t="n">
        <f aca="false">F9+1</f>
        <v>3.66666666666667</v>
      </c>
      <c r="H9" s="238" t="n">
        <f aca="false">G9+1</f>
        <v>4.66666666666667</v>
      </c>
      <c r="I9" s="238" t="n">
        <f aca="false">H9+1</f>
        <v>5.66666666666667</v>
      </c>
      <c r="J9" s="238" t="n">
        <f aca="false">I9+1</f>
        <v>6.66666666666667</v>
      </c>
      <c r="K9" s="238" t="n">
        <f aca="false">J9+1</f>
        <v>7.66666666666667</v>
      </c>
      <c r="L9" s="238" t="n">
        <f aca="false">K9+1</f>
        <v>8.66666666666667</v>
      </c>
      <c r="M9" s="238" t="n">
        <f aca="false">L9+1</f>
        <v>9.66666666666667</v>
      </c>
      <c r="N9" s="238" t="n">
        <f aca="false">M9+1</f>
        <v>10.6666666666667</v>
      </c>
      <c r="O9" s="238" t="n">
        <f aca="false">N9+1</f>
        <v>11.6666666666667</v>
      </c>
      <c r="P9" s="238" t="n">
        <f aca="false">O9+1</f>
        <v>12.6666666666667</v>
      </c>
      <c r="Q9" s="238" t="n">
        <f aca="false">P9+1</f>
        <v>13.6666666666667</v>
      </c>
      <c r="R9" s="238" t="n">
        <f aca="false">Q9+1</f>
        <v>14.6666666666667</v>
      </c>
      <c r="S9" s="238" t="n">
        <f aca="false">R9+1</f>
        <v>15.6666666666667</v>
      </c>
      <c r="T9" s="238" t="n">
        <f aca="false">S9+1</f>
        <v>16.6666666666667</v>
      </c>
      <c r="U9" s="238" t="n">
        <f aca="false">T9+1</f>
        <v>17.6666666666667</v>
      </c>
      <c r="V9" s="238" t="n">
        <f aca="false">U9+1</f>
        <v>18.6666666666667</v>
      </c>
      <c r="W9" s="238" t="n">
        <f aca="false">V9+1</f>
        <v>19.6666666666667</v>
      </c>
      <c r="X9" s="238" t="n">
        <f aca="false">W9+1</f>
        <v>20.6666666666667</v>
      </c>
      <c r="Y9" s="238" t="n">
        <f aca="false">X9+1</f>
        <v>21.6666666666667</v>
      </c>
      <c r="Z9" s="238" t="n">
        <f aca="false">Y9+1</f>
        <v>22.6666666666667</v>
      </c>
      <c r="AA9" s="238" t="n">
        <f aca="false">Z9+1</f>
        <v>23.6666666666667</v>
      </c>
      <c r="AB9" s="238" t="n">
        <f aca="false">AA9+1</f>
        <v>24.6666666666667</v>
      </c>
      <c r="AC9" s="238" t="n">
        <f aca="false">AB9+1</f>
        <v>25.6666666666667</v>
      </c>
      <c r="AD9" s="238" t="n">
        <f aca="false">AC9+1</f>
        <v>26.6666666666667</v>
      </c>
      <c r="AE9" s="238" t="n">
        <f aca="false">AD9+1</f>
        <v>27.6666666666667</v>
      </c>
      <c r="AF9" s="238" t="n">
        <f aca="false">AE9+1</f>
        <v>28.6666666666667</v>
      </c>
      <c r="AG9" s="238" t="n">
        <f aca="false">AF9+1</f>
        <v>29.6666666666667</v>
      </c>
      <c r="AH9" s="238" t="n">
        <f aca="false">AG9+1</f>
        <v>30.6666666666667</v>
      </c>
    </row>
    <row r="10" customFormat="false" ht="16.5" hidden="false" customHeight="false" outlineLevel="0" collapsed="false">
      <c r="B10" s="239"/>
      <c r="C10" s="239"/>
      <c r="D10" s="240" t="n">
        <f aca="false">YEAR(Assumptions!I18)</f>
        <v>2002</v>
      </c>
      <c r="E10" s="240" t="n">
        <f aca="false">D10+1</f>
        <v>2003</v>
      </c>
      <c r="F10" s="240" t="n">
        <f aca="false">E10+1</f>
        <v>2004</v>
      </c>
      <c r="G10" s="240" t="n">
        <f aca="false">F10+1</f>
        <v>2005</v>
      </c>
      <c r="H10" s="240" t="n">
        <f aca="false">G10+1</f>
        <v>2006</v>
      </c>
      <c r="I10" s="240" t="n">
        <f aca="false">H10+1</f>
        <v>2007</v>
      </c>
      <c r="J10" s="240" t="n">
        <f aca="false">I10+1</f>
        <v>2008</v>
      </c>
      <c r="K10" s="240" t="n">
        <f aca="false">J10+1</f>
        <v>2009</v>
      </c>
      <c r="L10" s="240" t="n">
        <f aca="false">K10+1</f>
        <v>2010</v>
      </c>
      <c r="M10" s="240" t="n">
        <f aca="false">L10+1</f>
        <v>2011</v>
      </c>
      <c r="N10" s="240" t="n">
        <f aca="false">M10+1</f>
        <v>2012</v>
      </c>
      <c r="O10" s="240" t="n">
        <f aca="false">N10+1</f>
        <v>2013</v>
      </c>
      <c r="P10" s="240" t="n">
        <f aca="false">O10+1</f>
        <v>2014</v>
      </c>
      <c r="Q10" s="240" t="n">
        <f aca="false">P10+1</f>
        <v>2015</v>
      </c>
      <c r="R10" s="240" t="n">
        <f aca="false">Q10+1</f>
        <v>2016</v>
      </c>
      <c r="S10" s="240" t="n">
        <f aca="false">R10+1</f>
        <v>2017</v>
      </c>
      <c r="T10" s="240" t="n">
        <f aca="false">S10+1</f>
        <v>2018</v>
      </c>
      <c r="U10" s="240" t="n">
        <f aca="false">T10+1</f>
        <v>2019</v>
      </c>
      <c r="V10" s="240" t="n">
        <f aca="false">U10+1</f>
        <v>2020</v>
      </c>
      <c r="W10" s="240" t="n">
        <f aca="false">V10+1</f>
        <v>2021</v>
      </c>
      <c r="X10" s="240" t="n">
        <f aca="false">W10+1</f>
        <v>2022</v>
      </c>
      <c r="Y10" s="240" t="n">
        <f aca="false">X10+1</f>
        <v>2023</v>
      </c>
      <c r="Z10" s="240" t="n">
        <f aca="false">Y10+1</f>
        <v>2024</v>
      </c>
      <c r="AA10" s="240" t="n">
        <f aca="false">Z10+1</f>
        <v>2025</v>
      </c>
      <c r="AB10" s="240" t="n">
        <f aca="false">AA10+1</f>
        <v>2026</v>
      </c>
      <c r="AC10" s="240" t="n">
        <f aca="false">AB10+1</f>
        <v>2027</v>
      </c>
      <c r="AD10" s="240" t="n">
        <f aca="false">AC10+1</f>
        <v>2028</v>
      </c>
      <c r="AE10" s="240" t="n">
        <f aca="false">AD10+1</f>
        <v>2029</v>
      </c>
      <c r="AF10" s="240" t="n">
        <f aca="false">AE10+1</f>
        <v>2030</v>
      </c>
      <c r="AG10" s="240" t="n">
        <f aca="false">AF10+1</f>
        <v>2031</v>
      </c>
      <c r="AH10" s="240" t="n">
        <f aca="false">AG10+1</f>
        <v>2032</v>
      </c>
    </row>
    <row r="11" customFormat="false" ht="15.75" hidden="false" customHeight="false" outlineLevel="0" collapsed="false">
      <c r="B11" s="15"/>
      <c r="C11" s="15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1"/>
      <c r="X11" s="241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</row>
    <row r="12" customFormat="false" ht="15.75" hidden="false" customHeight="false" outlineLevel="0" collapsed="false">
      <c r="B12" s="242" t="s">
        <v>190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</row>
    <row r="13" customFormat="false" ht="15.75" hidden="false" customHeight="false" outlineLevel="0" collapsed="false">
      <c r="B13" s="15" t="s">
        <v>191</v>
      </c>
      <c r="C13" s="243"/>
      <c r="D13" s="244" t="n">
        <v>62.1359223300971</v>
      </c>
      <c r="E13" s="244" t="n">
        <v>64</v>
      </c>
      <c r="F13" s="244" t="n">
        <v>62</v>
      </c>
      <c r="G13" s="244" t="n">
        <v>61</v>
      </c>
      <c r="H13" s="244" t="n">
        <v>59</v>
      </c>
      <c r="I13" s="244" t="n">
        <v>58</v>
      </c>
      <c r="J13" s="244" t="n">
        <v>57</v>
      </c>
      <c r="K13" s="244" t="n">
        <v>56</v>
      </c>
      <c r="L13" s="244" t="n">
        <v>56</v>
      </c>
      <c r="M13" s="244" t="n">
        <v>55</v>
      </c>
      <c r="N13" s="244" t="n">
        <v>55</v>
      </c>
      <c r="O13" s="244" t="n">
        <v>54</v>
      </c>
      <c r="P13" s="244" t="n">
        <v>54</v>
      </c>
      <c r="Q13" s="244" t="n">
        <v>53</v>
      </c>
      <c r="R13" s="244" t="n">
        <v>52</v>
      </c>
      <c r="S13" s="244" t="n">
        <v>51</v>
      </c>
      <c r="T13" s="244" t="n">
        <v>50</v>
      </c>
      <c r="U13" s="244" t="n">
        <v>49</v>
      </c>
      <c r="V13" s="244" t="n">
        <v>48</v>
      </c>
      <c r="W13" s="244" t="n">
        <v>47</v>
      </c>
      <c r="X13" s="244" t="n">
        <v>46</v>
      </c>
      <c r="Y13" s="244" t="n">
        <v>45</v>
      </c>
      <c r="Z13" s="244" t="n">
        <v>44</v>
      </c>
      <c r="AA13" s="244" t="n">
        <v>43</v>
      </c>
      <c r="AB13" s="244" t="n">
        <v>42</v>
      </c>
      <c r="AC13" s="244" t="n">
        <v>41</v>
      </c>
      <c r="AD13" s="244" t="n">
        <v>40</v>
      </c>
      <c r="AE13" s="244" t="n">
        <v>39</v>
      </c>
      <c r="AF13" s="244" t="n">
        <v>38</v>
      </c>
      <c r="AG13" s="244" t="n">
        <v>37</v>
      </c>
      <c r="AH13" s="244" t="n">
        <v>36</v>
      </c>
    </row>
    <row r="14" customFormat="false" ht="15.75" hidden="false" customHeight="false" outlineLevel="0" collapsed="false">
      <c r="B14" s="15" t="s">
        <v>192</v>
      </c>
      <c r="C14" s="15"/>
      <c r="D14" s="244" t="n">
        <v>49.5145631067961</v>
      </c>
      <c r="E14" s="244" t="n">
        <v>51</v>
      </c>
      <c r="F14" s="244" t="n">
        <v>52</v>
      </c>
      <c r="G14" s="244" t="n">
        <v>52</v>
      </c>
      <c r="H14" s="244" t="n">
        <v>52</v>
      </c>
      <c r="I14" s="244" t="n">
        <v>52</v>
      </c>
      <c r="J14" s="244" t="n">
        <v>52</v>
      </c>
      <c r="K14" s="244" t="n">
        <v>50</v>
      </c>
      <c r="L14" s="244" t="n">
        <v>48</v>
      </c>
      <c r="M14" s="244" t="n">
        <v>45</v>
      </c>
      <c r="N14" s="244" t="n">
        <v>43</v>
      </c>
      <c r="O14" s="244" t="n">
        <v>41</v>
      </c>
      <c r="P14" s="244" t="n">
        <v>40</v>
      </c>
      <c r="Q14" s="244" t="n">
        <v>39</v>
      </c>
      <c r="R14" s="244" t="n">
        <v>37</v>
      </c>
      <c r="S14" s="244" t="n">
        <v>36</v>
      </c>
      <c r="T14" s="244" t="n">
        <v>35</v>
      </c>
      <c r="U14" s="244" t="n">
        <v>35</v>
      </c>
      <c r="V14" s="244" t="n">
        <v>35</v>
      </c>
      <c r="W14" s="244" t="n">
        <v>34</v>
      </c>
      <c r="X14" s="244" t="n">
        <v>34</v>
      </c>
      <c r="Y14" s="244" t="n">
        <v>34</v>
      </c>
      <c r="Z14" s="244" t="n">
        <v>34</v>
      </c>
      <c r="AA14" s="244" t="n">
        <v>34</v>
      </c>
      <c r="AB14" s="244" t="n">
        <v>34</v>
      </c>
      <c r="AC14" s="244" t="n">
        <v>34</v>
      </c>
      <c r="AD14" s="244" t="n">
        <v>34</v>
      </c>
      <c r="AE14" s="244" t="n">
        <v>34</v>
      </c>
      <c r="AF14" s="244" t="n">
        <v>34</v>
      </c>
      <c r="AG14" s="244" t="n">
        <v>34</v>
      </c>
      <c r="AH14" s="244" t="n">
        <v>34</v>
      </c>
    </row>
    <row r="15" customFormat="false" ht="15.75" hidden="false" customHeight="false" outlineLevel="0" collapsed="false">
      <c r="B15" s="15"/>
      <c r="C15" s="15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5"/>
      <c r="T15" s="245"/>
      <c r="U15" s="245"/>
      <c r="V15" s="245"/>
      <c r="W15" s="245"/>
      <c r="X15" s="245"/>
      <c r="Y15" s="245"/>
      <c r="Z15" s="245"/>
      <c r="AA15" s="245"/>
      <c r="AB15" s="245"/>
      <c r="AC15" s="245"/>
      <c r="AD15" s="245"/>
      <c r="AE15" s="245"/>
      <c r="AF15" s="245"/>
      <c r="AG15" s="245"/>
      <c r="AH15" s="245"/>
    </row>
    <row r="16" customFormat="false" ht="15.75" hidden="false" customHeight="false" outlineLevel="0" collapsed="false">
      <c r="B16" s="242" t="s">
        <v>193</v>
      </c>
      <c r="C16" s="1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45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  <c r="AH16" s="245"/>
    </row>
    <row r="17" customFormat="false" ht="15.75" hidden="false" customHeight="false" outlineLevel="0" collapsed="false">
      <c r="B17" s="15" t="s">
        <v>194</v>
      </c>
      <c r="C17" s="246"/>
      <c r="D17" s="244" t="n">
        <v>65.92</v>
      </c>
      <c r="E17" s="244" t="n">
        <v>67.8976</v>
      </c>
      <c r="F17" s="244" t="n">
        <v>67.749074</v>
      </c>
      <c r="G17" s="244" t="n">
        <v>68.65603741</v>
      </c>
      <c r="H17" s="244" t="n">
        <v>68.3971703837</v>
      </c>
      <c r="I17" s="244" t="n">
        <v>69.255033198682</v>
      </c>
      <c r="J17" s="244" t="n">
        <v>70.1028103292176</v>
      </c>
      <c r="K17" s="244" t="n">
        <v>70.9391245577065</v>
      </c>
      <c r="L17" s="244" t="n">
        <v>73.0672982944377</v>
      </c>
      <c r="M17" s="244" t="n">
        <v>73.9154008639267</v>
      </c>
      <c r="N17" s="244" t="n">
        <v>76.1328628898445</v>
      </c>
      <c r="O17" s="244" t="n">
        <v>76.9910878896937</v>
      </c>
      <c r="P17" s="244" t="n">
        <v>79.3008205263845</v>
      </c>
      <c r="Q17" s="244" t="n">
        <v>80.1672554173209</v>
      </c>
      <c r="R17" s="244" t="n">
        <v>81.0143056632398</v>
      </c>
      <c r="S17" s="244" t="n">
        <v>81.8400283940381</v>
      </c>
      <c r="T17" s="244" t="n">
        <v>82.6423816135875</v>
      </c>
      <c r="U17" s="244" t="n">
        <v>83.4192200007553</v>
      </c>
      <c r="V17" s="244" t="n">
        <v>84.1682905477008</v>
      </c>
      <c r="W17" s="244" t="n">
        <v>84.8872280294624</v>
      </c>
      <c r="X17" s="244" t="n">
        <v>85.5735502986368</v>
      </c>
      <c r="Y17" s="244" t="n">
        <v>86.2246533987351</v>
      </c>
      <c r="Z17" s="244" t="n">
        <v>86.8757564988334</v>
      </c>
      <c r="AA17" s="244" t="n">
        <v>87.5268595989318</v>
      </c>
      <c r="AB17" s="244" t="n">
        <v>88.1779626990301</v>
      </c>
      <c r="AC17" s="244" t="n">
        <v>88.8290657991284</v>
      </c>
      <c r="AD17" s="244" t="n">
        <v>89.4801688992267</v>
      </c>
      <c r="AE17" s="244" t="n">
        <v>90.1312719993251</v>
      </c>
      <c r="AF17" s="244" t="n">
        <v>90.7823750994234</v>
      </c>
      <c r="AG17" s="244" t="n">
        <v>91.4334781995217</v>
      </c>
      <c r="AH17" s="244" t="n">
        <v>92.08458129962</v>
      </c>
    </row>
    <row r="18" customFormat="false" ht="15.75" hidden="false" customHeight="false" outlineLevel="0" collapsed="false">
      <c r="B18" s="15" t="s">
        <v>192</v>
      </c>
      <c r="C18" s="15"/>
      <c r="D18" s="244" t="n">
        <v>52.53</v>
      </c>
      <c r="E18" s="244" t="n">
        <v>54.1059</v>
      </c>
      <c r="F18" s="244" t="n">
        <v>56.821804</v>
      </c>
      <c r="G18" s="244" t="n">
        <v>58.52645812</v>
      </c>
      <c r="H18" s="244" t="n">
        <v>60.2822518636</v>
      </c>
      <c r="I18" s="244" t="n">
        <v>62.090719419508</v>
      </c>
      <c r="J18" s="244" t="n">
        <v>63.9534410020932</v>
      </c>
      <c r="K18" s="244" t="n">
        <v>63.3385040693808</v>
      </c>
      <c r="L18" s="244" t="n">
        <v>62.6291128238037</v>
      </c>
      <c r="M18" s="244" t="n">
        <v>60.4762370704855</v>
      </c>
      <c r="N18" s="244" t="n">
        <v>59.5220564411512</v>
      </c>
      <c r="O18" s="244" t="n">
        <v>58.4561963606933</v>
      </c>
      <c r="P18" s="244" t="n">
        <v>58.7413485380626</v>
      </c>
      <c r="Q18" s="244" t="n">
        <v>58.9909992693493</v>
      </c>
      <c r="R18" s="244" t="n">
        <v>57.6447944142283</v>
      </c>
      <c r="S18" s="244" t="n">
        <v>57.7694318075563</v>
      </c>
      <c r="T18" s="244" t="n">
        <v>57.8496671295113</v>
      </c>
      <c r="U18" s="244" t="n">
        <v>59.5851571433966</v>
      </c>
      <c r="V18" s="244" t="n">
        <v>61.3727118576985</v>
      </c>
      <c r="W18" s="244" t="n">
        <v>61.4077819787601</v>
      </c>
      <c r="X18" s="244" t="n">
        <v>63.2500154381228</v>
      </c>
      <c r="Y18" s="244" t="n">
        <v>65.1475159012665</v>
      </c>
      <c r="Z18" s="244" t="n">
        <v>67.0450163644102</v>
      </c>
      <c r="AA18" s="244" t="n">
        <v>68.9425168275539</v>
      </c>
      <c r="AB18" s="244" t="n">
        <v>70.8400172906976</v>
      </c>
      <c r="AC18" s="244" t="n">
        <v>72.7375177538413</v>
      </c>
      <c r="AD18" s="244" t="n">
        <v>74.6350182169849</v>
      </c>
      <c r="AE18" s="244" t="n">
        <v>76.5325186801286</v>
      </c>
      <c r="AF18" s="244" t="n">
        <v>78.4300191432723</v>
      </c>
      <c r="AG18" s="244" t="n">
        <v>80.327519606416</v>
      </c>
      <c r="AH18" s="244" t="n">
        <v>82.2250200695597</v>
      </c>
    </row>
    <row r="19" customFormat="false" ht="15.75" hidden="false" customHeight="false" outlineLevel="0" collapsed="false">
      <c r="B19" s="15"/>
      <c r="C19" s="15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O19" s="236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6"/>
      <c r="AE19" s="236"/>
      <c r="AF19" s="236"/>
      <c r="AG19" s="236"/>
      <c r="AH19" s="236"/>
    </row>
    <row r="20" customFormat="false" ht="15.75" hidden="false" customHeight="false" outlineLevel="0" collapsed="false">
      <c r="B20" s="15" t="s">
        <v>195</v>
      </c>
      <c r="C20" s="15" t="n">
        <v>1</v>
      </c>
      <c r="D20" s="247" t="n">
        <f aca="false">D17/12</f>
        <v>5.49333333333333</v>
      </c>
      <c r="E20" s="247" t="n">
        <f aca="false">E17/12</f>
        <v>5.65813333333333</v>
      </c>
      <c r="F20" s="247" t="n">
        <f aca="false">F17/12</f>
        <v>5.64575616666667</v>
      </c>
      <c r="G20" s="247" t="n">
        <f aca="false">G17/12</f>
        <v>5.72133645083333</v>
      </c>
      <c r="H20" s="247" t="n">
        <f aca="false">H17/12</f>
        <v>5.69976419864167</v>
      </c>
      <c r="I20" s="247" t="n">
        <f aca="false">I17/12</f>
        <v>5.77125276655683</v>
      </c>
      <c r="J20" s="247" t="n">
        <f aca="false">J17/12</f>
        <v>5.84190086076813</v>
      </c>
      <c r="K20" s="247" t="n">
        <f aca="false">K17/12</f>
        <v>5.91159371314221</v>
      </c>
      <c r="L20" s="247" t="n">
        <f aca="false">L17/12</f>
        <v>6.08894152453647</v>
      </c>
      <c r="M20" s="247" t="n">
        <f aca="false">M17/12</f>
        <v>6.15961673866056</v>
      </c>
      <c r="N20" s="247" t="n">
        <f aca="false">N17/12</f>
        <v>6.34440524082038</v>
      </c>
      <c r="O20" s="247" t="n">
        <f aca="false">O17/12</f>
        <v>6.4159239908078</v>
      </c>
      <c r="P20" s="247" t="n">
        <f aca="false">P17/12</f>
        <v>6.60840171053204</v>
      </c>
      <c r="Q20" s="247" t="n">
        <f aca="false">Q17/12</f>
        <v>6.68060461811007</v>
      </c>
      <c r="R20" s="247" t="n">
        <f aca="false">R17/12</f>
        <v>6.75119213860331</v>
      </c>
      <c r="S20" s="247" t="n">
        <f aca="false">S17/12</f>
        <v>6.82000236616985</v>
      </c>
      <c r="T20" s="247" t="n">
        <f aca="false">T17/12</f>
        <v>6.88686513446563</v>
      </c>
      <c r="U20" s="247" t="n">
        <f aca="false">U17/12</f>
        <v>6.95160166672961</v>
      </c>
      <c r="V20" s="247" t="n">
        <f aca="false">V17/12</f>
        <v>7.0140242123084</v>
      </c>
      <c r="W20" s="247" t="n">
        <f aca="false">W17/12</f>
        <v>7.07393566912187</v>
      </c>
      <c r="X20" s="247" t="n">
        <f aca="false">X17/12</f>
        <v>7.13112919155307</v>
      </c>
      <c r="Y20" s="247" t="n">
        <f aca="false">Y17/12</f>
        <v>7.18538778322793</v>
      </c>
      <c r="Z20" s="247" t="n">
        <f aca="false">Z17/12</f>
        <v>7.23964637490278</v>
      </c>
      <c r="AA20" s="247" t="n">
        <f aca="false">AA17/12</f>
        <v>7.29390496657765</v>
      </c>
      <c r="AB20" s="247" t="n">
        <f aca="false">AB17/12</f>
        <v>7.34816355825251</v>
      </c>
      <c r="AC20" s="247" t="n">
        <f aca="false">AC17/12</f>
        <v>7.40242214992737</v>
      </c>
      <c r="AD20" s="247" t="n">
        <f aca="false">AD17/12</f>
        <v>7.45668074160222</v>
      </c>
      <c r="AE20" s="247" t="n">
        <f aca="false">AE17/12</f>
        <v>7.51093933327709</v>
      </c>
      <c r="AF20" s="247" t="n">
        <f aca="false">AF17/12</f>
        <v>7.56519792495195</v>
      </c>
      <c r="AG20" s="247" t="n">
        <f aca="false">AG17/12</f>
        <v>7.61945651662681</v>
      </c>
      <c r="AH20" s="247" t="n">
        <f aca="false">AH17/12</f>
        <v>7.67371510830167</v>
      </c>
    </row>
    <row r="21" customFormat="false" ht="15.75" hidden="false" customHeight="false" outlineLevel="0" collapsed="false">
      <c r="B21" s="15" t="s">
        <v>196</v>
      </c>
      <c r="C21" s="15" t="n">
        <v>2</v>
      </c>
      <c r="D21" s="247" t="n">
        <f aca="false">D18/12</f>
        <v>4.3775</v>
      </c>
      <c r="E21" s="247" t="n">
        <f aca="false">E18/12</f>
        <v>4.508825</v>
      </c>
      <c r="F21" s="247" t="n">
        <f aca="false">F18/12</f>
        <v>4.73515033333333</v>
      </c>
      <c r="G21" s="247" t="n">
        <f aca="false">G18/12</f>
        <v>4.87720484333333</v>
      </c>
      <c r="H21" s="247" t="n">
        <f aca="false">H18/12</f>
        <v>5.02352098863333</v>
      </c>
      <c r="I21" s="247" t="n">
        <f aca="false">I18/12</f>
        <v>5.17422661829233</v>
      </c>
      <c r="J21" s="247" t="n">
        <f aca="false">J18/12</f>
        <v>5.3294534168411</v>
      </c>
      <c r="K21" s="247" t="n">
        <f aca="false">K18/12</f>
        <v>5.2782086724484</v>
      </c>
      <c r="L21" s="247" t="n">
        <f aca="false">L18/12</f>
        <v>5.21909273531698</v>
      </c>
      <c r="M21" s="247" t="n">
        <f aca="false">M18/12</f>
        <v>5.03968642254046</v>
      </c>
      <c r="N21" s="247" t="n">
        <f aca="false">N18/12</f>
        <v>4.96017137009593</v>
      </c>
      <c r="O21" s="247" t="n">
        <f aca="false">O18/12</f>
        <v>4.87134969672444</v>
      </c>
      <c r="P21" s="247" t="n">
        <f aca="false">P18/12</f>
        <v>4.89511237817188</v>
      </c>
      <c r="Q21" s="247" t="n">
        <f aca="false">Q18/12</f>
        <v>4.91591660577911</v>
      </c>
      <c r="R21" s="247" t="n">
        <f aca="false">R18/12</f>
        <v>4.80373286785236</v>
      </c>
      <c r="S21" s="247" t="n">
        <f aca="false">S18/12</f>
        <v>4.81411931729636</v>
      </c>
      <c r="T21" s="247" t="n">
        <f aca="false">T18/12</f>
        <v>4.82080559412594</v>
      </c>
      <c r="U21" s="247" t="n">
        <f aca="false">U18/12</f>
        <v>4.96542976194972</v>
      </c>
      <c r="V21" s="247" t="n">
        <f aca="false">V18/12</f>
        <v>5.11439265480821</v>
      </c>
      <c r="W21" s="247" t="n">
        <f aca="false">W18/12</f>
        <v>5.11731516489667</v>
      </c>
      <c r="X21" s="247" t="n">
        <f aca="false">X18/12</f>
        <v>5.27083461984357</v>
      </c>
      <c r="Y21" s="247" t="n">
        <f aca="false">Y18/12</f>
        <v>5.42895965843888</v>
      </c>
      <c r="Z21" s="247" t="n">
        <f aca="false">Z18/12</f>
        <v>5.58708469703418</v>
      </c>
      <c r="AA21" s="247" t="n">
        <f aca="false">AA18/12</f>
        <v>5.74520973562949</v>
      </c>
      <c r="AB21" s="247" t="n">
        <f aca="false">AB18/12</f>
        <v>5.9033347742248</v>
      </c>
      <c r="AC21" s="247" t="n">
        <f aca="false">AC18/12</f>
        <v>6.06145981282011</v>
      </c>
      <c r="AD21" s="247" t="n">
        <f aca="false">AD18/12</f>
        <v>6.21958485141541</v>
      </c>
      <c r="AE21" s="247" t="n">
        <f aca="false">AE18/12</f>
        <v>6.37770989001072</v>
      </c>
      <c r="AF21" s="247" t="n">
        <f aca="false">AF18/12</f>
        <v>6.53583492860603</v>
      </c>
      <c r="AG21" s="247" t="n">
        <f aca="false">AG18/12</f>
        <v>6.69395996720133</v>
      </c>
      <c r="AH21" s="247" t="n">
        <f aca="false">AH18/12</f>
        <v>6.85208500579664</v>
      </c>
    </row>
    <row r="22" customFormat="false" ht="15.75" hidden="false" customHeight="false" outlineLevel="0" collapsed="false">
      <c r="B22" s="15" t="s">
        <v>197</v>
      </c>
      <c r="C22" s="15" t="n">
        <v>3</v>
      </c>
      <c r="D22" s="244" t="n">
        <v>0</v>
      </c>
      <c r="E22" s="244" t="n">
        <v>0</v>
      </c>
      <c r="F22" s="244" t="n">
        <v>0</v>
      </c>
      <c r="G22" s="244" t="n">
        <v>0</v>
      </c>
      <c r="H22" s="244" t="n">
        <v>0</v>
      </c>
      <c r="I22" s="244" t="n">
        <v>0</v>
      </c>
      <c r="J22" s="244" t="n">
        <v>0</v>
      </c>
      <c r="K22" s="244" t="n">
        <v>0</v>
      </c>
      <c r="L22" s="244" t="n">
        <v>0</v>
      </c>
      <c r="M22" s="244" t="n">
        <v>0</v>
      </c>
      <c r="N22" s="244" t="n">
        <v>0</v>
      </c>
      <c r="O22" s="244" t="n">
        <v>0</v>
      </c>
      <c r="P22" s="244" t="n">
        <v>0</v>
      </c>
      <c r="Q22" s="244" t="n">
        <v>0</v>
      </c>
      <c r="R22" s="244" t="n">
        <v>0</v>
      </c>
      <c r="S22" s="244" t="n">
        <v>0</v>
      </c>
      <c r="T22" s="244" t="n">
        <v>0</v>
      </c>
      <c r="U22" s="244" t="n">
        <v>0</v>
      </c>
      <c r="V22" s="244" t="n">
        <v>0</v>
      </c>
      <c r="W22" s="244" t="n">
        <v>0</v>
      </c>
      <c r="X22" s="244" t="n">
        <v>0</v>
      </c>
      <c r="Y22" s="244" t="n">
        <v>0</v>
      </c>
      <c r="Z22" s="244" t="n">
        <v>0</v>
      </c>
      <c r="AA22" s="244" t="n">
        <v>0</v>
      </c>
      <c r="AB22" s="244" t="n">
        <v>0</v>
      </c>
      <c r="AC22" s="244" t="n">
        <v>0</v>
      </c>
      <c r="AD22" s="244" t="n">
        <v>0</v>
      </c>
      <c r="AE22" s="244" t="n">
        <v>0</v>
      </c>
      <c r="AF22" s="244" t="n">
        <v>0</v>
      </c>
      <c r="AG22" s="244" t="n">
        <v>0</v>
      </c>
      <c r="AH22" s="244" t="n">
        <v>0</v>
      </c>
      <c r="AI22" s="247"/>
      <c r="AJ22" s="247"/>
      <c r="AK22" s="247"/>
      <c r="AL22" s="247"/>
      <c r="AM22" s="247"/>
      <c r="AN22" s="247"/>
      <c r="AO22" s="247"/>
      <c r="AP22" s="247"/>
      <c r="AQ22" s="247"/>
      <c r="AR22" s="247"/>
    </row>
    <row r="23" customFormat="false" ht="15.75" hidden="false" customHeight="false" outlineLevel="0" collapsed="false">
      <c r="B23" s="15" t="s">
        <v>198</v>
      </c>
      <c r="C23" s="15" t="n">
        <v>4</v>
      </c>
      <c r="D23" s="244" t="n">
        <v>4</v>
      </c>
      <c r="E23" s="244" t="n">
        <v>4</v>
      </c>
      <c r="F23" s="244" t="n">
        <v>4</v>
      </c>
      <c r="G23" s="244" t="n">
        <v>4</v>
      </c>
      <c r="H23" s="244" t="n">
        <v>4</v>
      </c>
      <c r="I23" s="244" t="n">
        <v>4</v>
      </c>
      <c r="J23" s="244" t="n">
        <v>4</v>
      </c>
      <c r="K23" s="244" t="n">
        <v>4</v>
      </c>
      <c r="L23" s="244" t="n">
        <v>4</v>
      </c>
      <c r="M23" s="244" t="n">
        <v>4</v>
      </c>
      <c r="N23" s="244" t="n">
        <v>4</v>
      </c>
      <c r="O23" s="244" t="n">
        <v>4</v>
      </c>
      <c r="P23" s="244" t="n">
        <v>4</v>
      </c>
      <c r="Q23" s="244" t="n">
        <v>4</v>
      </c>
      <c r="R23" s="244" t="n">
        <v>4</v>
      </c>
      <c r="S23" s="244" t="n">
        <v>4</v>
      </c>
      <c r="T23" s="244" t="n">
        <v>4</v>
      </c>
      <c r="U23" s="244" t="n">
        <v>4</v>
      </c>
      <c r="V23" s="244" t="n">
        <v>4</v>
      </c>
      <c r="W23" s="244" t="n">
        <v>4</v>
      </c>
      <c r="X23" s="244" t="n">
        <v>4</v>
      </c>
      <c r="Y23" s="244" t="n">
        <v>4</v>
      </c>
      <c r="Z23" s="244" t="n">
        <v>4</v>
      </c>
      <c r="AA23" s="244" t="n">
        <v>4</v>
      </c>
      <c r="AB23" s="244" t="n">
        <v>4</v>
      </c>
      <c r="AC23" s="244" t="n">
        <v>4</v>
      </c>
      <c r="AD23" s="244" t="n">
        <v>4</v>
      </c>
      <c r="AE23" s="244" t="n">
        <v>4</v>
      </c>
      <c r="AF23" s="244" t="n">
        <v>4</v>
      </c>
      <c r="AG23" s="244" t="n">
        <v>4</v>
      </c>
      <c r="AH23" s="244" t="n">
        <v>4</v>
      </c>
    </row>
    <row r="24" customFormat="false" ht="15.75" hidden="false" customHeight="false" outlineLevel="0" collapsed="false">
      <c r="B24" s="15"/>
      <c r="C24" s="15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  <c r="AH24" s="247"/>
    </row>
    <row r="25" customFormat="false" ht="15.75" hidden="false" customHeight="false" outlineLevel="0" collapsed="false">
      <c r="B25" s="3" t="s">
        <v>199</v>
      </c>
      <c r="C25" s="248"/>
      <c r="D25" s="249" t="n">
        <f aca="false">CHOOSE($B$26,D20,D21,D22,D23)</f>
        <v>5.49333333333333</v>
      </c>
      <c r="E25" s="249" t="n">
        <f aca="false">CHOOSE($B$26,E20,E21,E22,E23)</f>
        <v>5.65813333333333</v>
      </c>
      <c r="F25" s="249" t="n">
        <f aca="false">CHOOSE($B$26,F20,F21,F22,F23)</f>
        <v>5.64575616666667</v>
      </c>
      <c r="G25" s="249" t="n">
        <f aca="false">CHOOSE($B$26,G20,G21,G22,G23)</f>
        <v>5.72133645083333</v>
      </c>
      <c r="H25" s="249" t="n">
        <f aca="false">CHOOSE($B$26,H20,H21,H22,H23)</f>
        <v>5.69976419864167</v>
      </c>
      <c r="I25" s="249" t="n">
        <f aca="false">CHOOSE($B$26,I20,I21,I22,I23)</f>
        <v>5.77125276655683</v>
      </c>
      <c r="J25" s="249" t="n">
        <f aca="false">CHOOSE($B$26,J20,J21,J22,J23)</f>
        <v>5.84190086076813</v>
      </c>
      <c r="K25" s="249" t="n">
        <f aca="false">CHOOSE($B$26,K20,K21,K22,K23)</f>
        <v>5.91159371314221</v>
      </c>
      <c r="L25" s="249" t="n">
        <f aca="false">CHOOSE($B$26,L20,L21,L22,L23)</f>
        <v>6.08894152453647</v>
      </c>
      <c r="M25" s="249" t="n">
        <f aca="false">CHOOSE($B$26,M20,M21,M22,M23)</f>
        <v>6.15961673866056</v>
      </c>
      <c r="N25" s="249" t="n">
        <f aca="false">CHOOSE($B$26,N20,N21,N22,N23)</f>
        <v>6.34440524082038</v>
      </c>
      <c r="O25" s="249" t="n">
        <f aca="false">CHOOSE($B$26,O20,O21,O22,O23)</f>
        <v>6.4159239908078</v>
      </c>
      <c r="P25" s="249" t="n">
        <f aca="false">CHOOSE($B$26,P20,P21,P22,P23)</f>
        <v>6.60840171053204</v>
      </c>
      <c r="Q25" s="249" t="n">
        <f aca="false">CHOOSE($B$26,Q20,Q21,Q22,Q23)</f>
        <v>6.68060461811007</v>
      </c>
      <c r="R25" s="249" t="n">
        <f aca="false">CHOOSE($B$26,R20,R21,R22,R23)</f>
        <v>6.75119213860331</v>
      </c>
      <c r="S25" s="249" t="n">
        <f aca="false">CHOOSE($B$26,S20,S21,S22,S23)</f>
        <v>6.82000236616985</v>
      </c>
      <c r="T25" s="249" t="n">
        <f aca="false">CHOOSE($B$26,T20,T21,T22,T23)</f>
        <v>6.88686513446563</v>
      </c>
      <c r="U25" s="249" t="n">
        <f aca="false">CHOOSE($B$26,U20,U21,U22,U23)</f>
        <v>6.95160166672961</v>
      </c>
      <c r="V25" s="249" t="n">
        <f aca="false">CHOOSE($B$26,V20,V21,V22,V23)</f>
        <v>7.0140242123084</v>
      </c>
      <c r="W25" s="249" t="n">
        <f aca="false">CHOOSE($B$26,W20,W21,W22,W23)</f>
        <v>7.07393566912187</v>
      </c>
      <c r="X25" s="249" t="n">
        <f aca="false">CHOOSE($B$26,X20,X21,X22,X23)</f>
        <v>7.13112919155307</v>
      </c>
      <c r="Y25" s="249" t="n">
        <f aca="false">CHOOSE($B$26,Y20,Y21,Y22,Y23)</f>
        <v>7.18538778322793</v>
      </c>
      <c r="Z25" s="249" t="n">
        <f aca="false">CHOOSE($B$26,Z20,Z21,Z22,Z23)</f>
        <v>7.23964637490278</v>
      </c>
      <c r="AA25" s="249" t="n">
        <f aca="false">CHOOSE($B$26,AA20,AA21,AA22,AA23)</f>
        <v>7.29390496657765</v>
      </c>
      <c r="AB25" s="249" t="n">
        <f aca="false">CHOOSE($B$26,AB20,AB21,AB22,AB23)</f>
        <v>7.34816355825251</v>
      </c>
      <c r="AC25" s="249" t="n">
        <f aca="false">CHOOSE($B$26,AC20,AC21,AC22,AC23)</f>
        <v>7.40242214992737</v>
      </c>
      <c r="AD25" s="249" t="n">
        <f aca="false">CHOOSE($B$26,AD20,AD21,AD22,AD23)</f>
        <v>7.45668074160222</v>
      </c>
      <c r="AE25" s="249" t="n">
        <f aca="false">CHOOSE($B$26,AE20,AE21,AE22,AE23)</f>
        <v>7.51093933327709</v>
      </c>
      <c r="AF25" s="249" t="n">
        <f aca="false">CHOOSE($B$26,AF20,AF21,AF22,AF23)</f>
        <v>7.56519792495195</v>
      </c>
      <c r="AG25" s="249" t="n">
        <f aca="false">CHOOSE($B$26,AG20,AG21,AG22,AG23)</f>
        <v>7.61945651662681</v>
      </c>
      <c r="AH25" s="249" t="n">
        <f aca="false">CHOOSE($B$26,AH20,AH21,AH22,AH23)</f>
        <v>7.67371510830167</v>
      </c>
    </row>
    <row r="26" customFormat="false" ht="15.75" hidden="false" customHeight="false" outlineLevel="0" collapsed="false">
      <c r="B26" s="250" t="n">
        <v>1</v>
      </c>
      <c r="C26" s="248"/>
      <c r="D26" s="251"/>
      <c r="E26" s="25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2"/>
      <c r="Z26" s="253"/>
      <c r="AA26" s="253"/>
    </row>
    <row r="27" customFormat="false" ht="15.75" hidden="false" customHeight="false" outlineLevel="0" collapsed="false">
      <c r="B27" s="15"/>
      <c r="C27" s="248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</row>
    <row r="28" customFormat="false" ht="15.75" hidden="false" customHeight="false" outlineLevel="0" collapsed="false">
      <c r="B28" s="15"/>
      <c r="C28" s="248"/>
      <c r="D28" s="254"/>
      <c r="E28" s="254"/>
      <c r="F28" s="254"/>
      <c r="G28" s="254"/>
      <c r="H28" s="254"/>
      <c r="I28" s="254"/>
      <c r="J28" s="254"/>
      <c r="K28" s="254"/>
      <c r="L28" s="254"/>
      <c r="M28" s="254"/>
      <c r="N28" s="254"/>
      <c r="O28" s="254"/>
      <c r="P28" s="254"/>
      <c r="Q28" s="254"/>
      <c r="R28" s="254"/>
      <c r="S28" s="254"/>
      <c r="T28" s="254"/>
      <c r="U28" s="254"/>
      <c r="V28" s="254"/>
      <c r="W28" s="254"/>
      <c r="X28" s="254"/>
    </row>
    <row r="29" customFormat="false" ht="15.75" hidden="false" customHeight="false" outlineLevel="0" collapsed="false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customFormat="false" ht="15.75" hidden="false" customHeight="false" outlineLevel="0" collapsed="false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customFormat="false" ht="18.75" hidden="false" customHeight="false" outlineLevel="0" collapsed="false">
      <c r="B31" s="2" t="s">
        <v>200</v>
      </c>
      <c r="C31" s="255"/>
      <c r="D31" s="256" t="n">
        <f aca="false">([4]Assumptions!J17/12)</f>
        <v>0.668493150684932</v>
      </c>
      <c r="E31" s="256" t="n">
        <f aca="false">D31+1</f>
        <v>1.66849315068493</v>
      </c>
      <c r="F31" s="256" t="n">
        <f aca="false">E31+1</f>
        <v>2.66849315068493</v>
      </c>
      <c r="G31" s="256" t="n">
        <f aca="false">F31+1</f>
        <v>3.66849315068493</v>
      </c>
      <c r="H31" s="256" t="n">
        <f aca="false">G31+1</f>
        <v>4.66849315068493</v>
      </c>
      <c r="I31" s="256" t="n">
        <f aca="false">H31+1</f>
        <v>5.66849315068493</v>
      </c>
      <c r="J31" s="256" t="n">
        <f aca="false">I31+1</f>
        <v>6.66849315068493</v>
      </c>
      <c r="K31" s="256" t="n">
        <f aca="false">J31+1</f>
        <v>7.66849315068493</v>
      </c>
      <c r="L31" s="256" t="n">
        <f aca="false">K31+1</f>
        <v>8.66849315068493</v>
      </c>
      <c r="M31" s="256" t="n">
        <f aca="false">L31+1</f>
        <v>9.66849315068493</v>
      </c>
      <c r="N31" s="256" t="n">
        <f aca="false">M31+1</f>
        <v>10.6684931506849</v>
      </c>
      <c r="O31" s="256" t="n">
        <f aca="false">N31+1</f>
        <v>11.6684931506849</v>
      </c>
      <c r="P31" s="256" t="n">
        <f aca="false">O31+1</f>
        <v>12.6684931506849</v>
      </c>
      <c r="Q31" s="256" t="n">
        <f aca="false">P31+1</f>
        <v>13.6684931506849</v>
      </c>
      <c r="R31" s="256" t="n">
        <f aca="false">Q31+1</f>
        <v>14.6684931506849</v>
      </c>
      <c r="S31" s="256" t="n">
        <f aca="false">R31+1</f>
        <v>15.6684931506849</v>
      </c>
      <c r="T31" s="256" t="n">
        <f aca="false">S31+1</f>
        <v>16.6684931506849</v>
      </c>
      <c r="U31" s="256" t="n">
        <f aca="false">T31+1</f>
        <v>17.6684931506849</v>
      </c>
      <c r="V31" s="256" t="n">
        <f aca="false">U31+1</f>
        <v>18.6684931506849</v>
      </c>
      <c r="W31" s="256" t="n">
        <f aca="false">V31+1</f>
        <v>19.6684931506849</v>
      </c>
      <c r="X31" s="256" t="n">
        <f aca="false">W31+1</f>
        <v>20.6684931506849</v>
      </c>
      <c r="Y31" s="256" t="n">
        <f aca="false">X31+1</f>
        <v>21.6684931506849</v>
      </c>
      <c r="Z31" s="256" t="n">
        <f aca="false">Y31+1</f>
        <v>22.6684931506849</v>
      </c>
      <c r="AA31" s="256" t="n">
        <f aca="false">Z31+1</f>
        <v>23.6684931506849</v>
      </c>
      <c r="AB31" s="256" t="n">
        <f aca="false">AA31+1</f>
        <v>24.6684931506849</v>
      </c>
      <c r="AC31" s="256" t="n">
        <f aca="false">AB31+1</f>
        <v>25.6684931506849</v>
      </c>
      <c r="AD31" s="256" t="n">
        <f aca="false">AC31+1</f>
        <v>26.6684931506849</v>
      </c>
      <c r="AE31" s="256" t="n">
        <f aca="false">AD31+1</f>
        <v>27.6684931506849</v>
      </c>
      <c r="AF31" s="256" t="n">
        <f aca="false">AE31+1</f>
        <v>28.6684931506849</v>
      </c>
      <c r="AG31" s="256" t="n">
        <f aca="false">AF31+1</f>
        <v>29.6684931506849</v>
      </c>
      <c r="AH31" s="256" t="n">
        <f aca="false">AG31+1</f>
        <v>30.6684931506849</v>
      </c>
    </row>
    <row r="32" customFormat="false" ht="15.75" hidden="false" customHeight="false" outlineLevel="0" collapsed="false">
      <c r="B32" s="15"/>
      <c r="C32" s="15"/>
      <c r="D32" s="241" t="n">
        <f aca="false">D10</f>
        <v>2002</v>
      </c>
      <c r="E32" s="241" t="n">
        <f aca="false">D32+1</f>
        <v>2003</v>
      </c>
      <c r="F32" s="241" t="n">
        <f aca="false">E32+1</f>
        <v>2004</v>
      </c>
      <c r="G32" s="241" t="n">
        <f aca="false">F32+1</f>
        <v>2005</v>
      </c>
      <c r="H32" s="241" t="n">
        <f aca="false">G32+1</f>
        <v>2006</v>
      </c>
      <c r="I32" s="241" t="n">
        <f aca="false">H32+1</f>
        <v>2007</v>
      </c>
      <c r="J32" s="241" t="n">
        <f aca="false">I32+1</f>
        <v>2008</v>
      </c>
      <c r="K32" s="241" t="n">
        <f aca="false">J32+1</f>
        <v>2009</v>
      </c>
      <c r="L32" s="241" t="n">
        <f aca="false">K32+1</f>
        <v>2010</v>
      </c>
      <c r="M32" s="241" t="n">
        <f aca="false">L32+1</f>
        <v>2011</v>
      </c>
      <c r="N32" s="241" t="n">
        <f aca="false">M32+1</f>
        <v>2012</v>
      </c>
      <c r="O32" s="241" t="n">
        <f aca="false">N32+1</f>
        <v>2013</v>
      </c>
      <c r="P32" s="241" t="n">
        <f aca="false">O32+1</f>
        <v>2014</v>
      </c>
      <c r="Q32" s="241" t="n">
        <f aca="false">P32+1</f>
        <v>2015</v>
      </c>
      <c r="R32" s="241" t="n">
        <f aca="false">Q32+1</f>
        <v>2016</v>
      </c>
      <c r="S32" s="241" t="n">
        <f aca="false">R32+1</f>
        <v>2017</v>
      </c>
      <c r="T32" s="241" t="n">
        <f aca="false">S32+1</f>
        <v>2018</v>
      </c>
      <c r="U32" s="241" t="n">
        <f aca="false">T32+1</f>
        <v>2019</v>
      </c>
      <c r="V32" s="241" t="n">
        <f aca="false">U32+1</f>
        <v>2020</v>
      </c>
      <c r="W32" s="241" t="n">
        <f aca="false">V32+1</f>
        <v>2021</v>
      </c>
      <c r="X32" s="241" t="n">
        <f aca="false">W32+1</f>
        <v>2022</v>
      </c>
      <c r="Y32" s="241" t="n">
        <f aca="false">X32+1</f>
        <v>2023</v>
      </c>
      <c r="Z32" s="241" t="n">
        <f aca="false">Y32+1</f>
        <v>2024</v>
      </c>
      <c r="AA32" s="241" t="n">
        <f aca="false">Z32+1</f>
        <v>2025</v>
      </c>
      <c r="AB32" s="241" t="n">
        <f aca="false">AA32+1</f>
        <v>2026</v>
      </c>
      <c r="AC32" s="241" t="n">
        <f aca="false">AB32+1</f>
        <v>2027</v>
      </c>
      <c r="AD32" s="241" t="n">
        <f aca="false">AC32+1</f>
        <v>2028</v>
      </c>
      <c r="AE32" s="241" t="n">
        <f aca="false">AD32+1</f>
        <v>2029</v>
      </c>
      <c r="AF32" s="241" t="n">
        <f aca="false">AE32+1</f>
        <v>2030</v>
      </c>
      <c r="AG32" s="241" t="n">
        <f aca="false">AF32+1</f>
        <v>2031</v>
      </c>
      <c r="AH32" s="241" t="n">
        <f aca="false">AG32+1</f>
        <v>2032</v>
      </c>
    </row>
    <row r="33" customFormat="false" ht="15.75" hidden="false" customHeight="false" outlineLevel="0" collapsed="false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</row>
    <row r="34" customFormat="false" ht="15.75" hidden="false" customHeight="false" outlineLevel="0" collapsed="false">
      <c r="B34" s="242" t="s">
        <v>201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</row>
    <row r="35" customFormat="false" ht="15.75" hidden="false" customHeight="false" outlineLevel="0" collapsed="false">
      <c r="A35" s="15" t="n">
        <v>1</v>
      </c>
      <c r="B35" s="15" t="s">
        <v>202</v>
      </c>
      <c r="C35" s="243"/>
      <c r="D35" s="244" t="n">
        <v>2.2</v>
      </c>
      <c r="E35" s="244" t="n">
        <v>2.2</v>
      </c>
      <c r="F35" s="244" t="n">
        <v>2.2</v>
      </c>
      <c r="G35" s="244" t="n">
        <v>2.2</v>
      </c>
      <c r="H35" s="244" t="n">
        <v>2.2</v>
      </c>
      <c r="I35" s="244" t="n">
        <v>2.2</v>
      </c>
      <c r="J35" s="244" t="n">
        <v>2.2</v>
      </c>
      <c r="K35" s="244" t="n">
        <v>2.2</v>
      </c>
      <c r="L35" s="244" t="n">
        <v>2.2</v>
      </c>
      <c r="M35" s="244" t="n">
        <v>2.2</v>
      </c>
      <c r="N35" s="244" t="n">
        <v>2.2</v>
      </c>
      <c r="O35" s="244" t="n">
        <v>2.2</v>
      </c>
      <c r="P35" s="244" t="n">
        <v>2.2</v>
      </c>
      <c r="Q35" s="244" t="n">
        <v>2.2</v>
      </c>
      <c r="R35" s="244" t="n">
        <v>2.2</v>
      </c>
      <c r="S35" s="244" t="n">
        <v>2.2</v>
      </c>
      <c r="T35" s="244" t="n">
        <v>2.2</v>
      </c>
      <c r="U35" s="244" t="n">
        <v>2.2</v>
      </c>
      <c r="V35" s="244" t="n">
        <v>2.2</v>
      </c>
      <c r="W35" s="244" t="n">
        <v>2.2</v>
      </c>
      <c r="X35" s="244" t="n">
        <v>2.2</v>
      </c>
      <c r="Y35" s="244" t="n">
        <v>2.2</v>
      </c>
      <c r="Z35" s="244" t="n">
        <v>2.2</v>
      </c>
      <c r="AA35" s="244" t="n">
        <v>2.2</v>
      </c>
      <c r="AB35" s="244" t="n">
        <v>2.2</v>
      </c>
      <c r="AC35" s="244" t="n">
        <v>2.2</v>
      </c>
      <c r="AD35" s="244" t="n">
        <v>2.2</v>
      </c>
      <c r="AE35" s="244" t="n">
        <v>2.2</v>
      </c>
      <c r="AF35" s="244" t="n">
        <v>2.2</v>
      </c>
      <c r="AG35" s="244" t="n">
        <v>2.2</v>
      </c>
      <c r="AH35" s="244" t="n">
        <v>2.2</v>
      </c>
    </row>
    <row r="36" customFormat="false" ht="15.75" hidden="false" customHeight="false" outlineLevel="0" collapsed="false">
      <c r="A36" s="15" t="n">
        <v>2</v>
      </c>
      <c r="B36" s="15" t="s">
        <v>203</v>
      </c>
      <c r="C36" s="15"/>
      <c r="D36" s="244" t="n">
        <v>2</v>
      </c>
      <c r="E36" s="244" t="n">
        <v>2</v>
      </c>
      <c r="F36" s="244" t="n">
        <v>2</v>
      </c>
      <c r="G36" s="244" t="n">
        <v>2</v>
      </c>
      <c r="H36" s="244" t="n">
        <v>2</v>
      </c>
      <c r="I36" s="244" t="n">
        <v>2</v>
      </c>
      <c r="J36" s="244" t="n">
        <v>2</v>
      </c>
      <c r="K36" s="244" t="n">
        <v>2</v>
      </c>
      <c r="L36" s="244" t="n">
        <v>2</v>
      </c>
      <c r="M36" s="244" t="n">
        <v>2</v>
      </c>
      <c r="N36" s="244" t="n">
        <v>2</v>
      </c>
      <c r="O36" s="244" t="n">
        <v>2</v>
      </c>
      <c r="P36" s="244" t="n">
        <v>2</v>
      </c>
      <c r="Q36" s="244" t="n">
        <v>2</v>
      </c>
      <c r="R36" s="244" t="n">
        <v>2</v>
      </c>
      <c r="S36" s="244" t="n">
        <v>2</v>
      </c>
      <c r="T36" s="244" t="n">
        <v>2</v>
      </c>
      <c r="U36" s="244" t="n">
        <v>2</v>
      </c>
      <c r="V36" s="244" t="n">
        <v>2</v>
      </c>
      <c r="W36" s="244" t="n">
        <v>2</v>
      </c>
      <c r="X36" s="244" t="n">
        <v>2</v>
      </c>
      <c r="Y36" s="244" t="n">
        <v>2</v>
      </c>
      <c r="Z36" s="244" t="n">
        <v>2</v>
      </c>
      <c r="AA36" s="244" t="n">
        <v>2</v>
      </c>
      <c r="AB36" s="244" t="n">
        <v>2</v>
      </c>
      <c r="AC36" s="244" t="n">
        <v>2</v>
      </c>
      <c r="AD36" s="244" t="n">
        <v>2</v>
      </c>
      <c r="AE36" s="244" t="n">
        <v>2</v>
      </c>
      <c r="AF36" s="244" t="n">
        <v>2</v>
      </c>
      <c r="AG36" s="244" t="n">
        <v>2</v>
      </c>
      <c r="AH36" s="244" t="n">
        <v>2</v>
      </c>
    </row>
    <row r="37" customFormat="false" ht="15.75" hidden="false" customHeight="false" outlineLevel="0" collapsed="false">
      <c r="B37" s="15" t="s">
        <v>204</v>
      </c>
      <c r="C37" s="15"/>
      <c r="D37" s="257" t="n">
        <v>0</v>
      </c>
      <c r="E37" s="257" t="n">
        <v>0</v>
      </c>
      <c r="F37" s="257" t="n">
        <v>0</v>
      </c>
      <c r="G37" s="257" t="n">
        <v>0</v>
      </c>
      <c r="H37" s="257" t="n">
        <v>0</v>
      </c>
      <c r="I37" s="257" t="n">
        <v>0</v>
      </c>
      <c r="J37" s="257" t="n">
        <v>0</v>
      </c>
      <c r="K37" s="257" t="n">
        <v>0</v>
      </c>
      <c r="L37" s="257" t="n">
        <v>0</v>
      </c>
      <c r="M37" s="257" t="n">
        <v>0</v>
      </c>
      <c r="N37" s="257" t="n">
        <v>0</v>
      </c>
      <c r="O37" s="257" t="n">
        <v>0</v>
      </c>
      <c r="P37" s="257" t="n">
        <v>0</v>
      </c>
      <c r="Q37" s="257" t="n">
        <v>0</v>
      </c>
      <c r="R37" s="257" t="n">
        <v>0</v>
      </c>
      <c r="S37" s="257" t="n">
        <v>0</v>
      </c>
      <c r="T37" s="257" t="n">
        <v>0</v>
      </c>
      <c r="U37" s="257" t="n">
        <v>0</v>
      </c>
      <c r="V37" s="257" t="n">
        <v>0</v>
      </c>
      <c r="W37" s="257" t="n">
        <v>0</v>
      </c>
      <c r="X37" s="257" t="n">
        <v>0</v>
      </c>
      <c r="Y37" s="257" t="n">
        <v>0</v>
      </c>
      <c r="Z37" s="257" t="n">
        <v>0</v>
      </c>
      <c r="AA37" s="257" t="n">
        <v>0</v>
      </c>
      <c r="AB37" s="257" t="n">
        <v>0</v>
      </c>
      <c r="AC37" s="257" t="n">
        <v>0</v>
      </c>
      <c r="AD37" s="257" t="n">
        <v>0</v>
      </c>
      <c r="AE37" s="257" t="n">
        <v>0</v>
      </c>
      <c r="AF37" s="257" t="n">
        <v>0</v>
      </c>
      <c r="AG37" s="257" t="n">
        <v>0</v>
      </c>
      <c r="AH37" s="257" t="n">
        <v>0</v>
      </c>
    </row>
    <row r="38" customFormat="false" ht="15.75" hidden="false" customHeight="false" outlineLevel="0" collapsed="false">
      <c r="B38" s="15"/>
      <c r="C38" s="15"/>
    </row>
    <row r="39" customFormat="false" ht="15.75" hidden="false" customHeight="false" outlineLevel="0" collapsed="false">
      <c r="B39" s="3" t="s">
        <v>199</v>
      </c>
      <c r="C39" s="250" t="n">
        <v>2</v>
      </c>
      <c r="D39" s="249" t="n">
        <f aca="false">CHOOSE($C$39,D35+D37,D36+D37)</f>
        <v>2</v>
      </c>
      <c r="E39" s="249" t="n">
        <f aca="false">CHOOSE($C$39,E35+E37,E36+E37)</f>
        <v>2</v>
      </c>
      <c r="F39" s="249" t="n">
        <f aca="false">CHOOSE($C$39,F35+F37,F36+F37)</f>
        <v>2</v>
      </c>
      <c r="G39" s="249" t="n">
        <f aca="false">CHOOSE($C$39,G35+G37,G36+G37)</f>
        <v>2</v>
      </c>
      <c r="H39" s="249" t="n">
        <f aca="false">CHOOSE($C$39,H35+H37,H36+H37)</f>
        <v>2</v>
      </c>
      <c r="I39" s="249" t="n">
        <f aca="false">CHOOSE($C$39,I35+I37,I36+I37)</f>
        <v>2</v>
      </c>
      <c r="J39" s="249" t="n">
        <f aca="false">CHOOSE($C$39,J35+J37,J36+J37)</f>
        <v>2</v>
      </c>
      <c r="K39" s="249" t="n">
        <f aca="false">CHOOSE($C$39,K35+K37,K36+K37)</f>
        <v>2</v>
      </c>
      <c r="L39" s="249" t="n">
        <f aca="false">CHOOSE($C$39,L35+L37,L36+L37)</f>
        <v>2</v>
      </c>
      <c r="M39" s="249" t="n">
        <f aca="false">CHOOSE($C$39,M35+M37,M36+M37)</f>
        <v>2</v>
      </c>
      <c r="N39" s="249" t="n">
        <f aca="false">CHOOSE($C$39,N35+N37,N36+N37)</f>
        <v>2</v>
      </c>
      <c r="O39" s="249" t="n">
        <f aca="false">CHOOSE($C$39,O35+O37,O36+O37)</f>
        <v>2</v>
      </c>
      <c r="P39" s="249" t="n">
        <f aca="false">CHOOSE($C$39,P35+P37,P36+P37)</f>
        <v>2</v>
      </c>
      <c r="Q39" s="249" t="n">
        <f aca="false">CHOOSE($C$39,Q35+Q37,Q36+Q37)</f>
        <v>2</v>
      </c>
      <c r="R39" s="249" t="n">
        <f aca="false">CHOOSE($C$39,R35+R37,R36+R37)</f>
        <v>2</v>
      </c>
      <c r="S39" s="249" t="n">
        <f aca="false">CHOOSE($C$39,S35+S37,S36+S37)</f>
        <v>2</v>
      </c>
      <c r="T39" s="249" t="n">
        <f aca="false">CHOOSE($C$39,T35+T37,T36+T37)</f>
        <v>2</v>
      </c>
      <c r="U39" s="249" t="n">
        <f aca="false">CHOOSE($C$39,U35+U37,U36+U37)</f>
        <v>2</v>
      </c>
      <c r="V39" s="249" t="n">
        <f aca="false">CHOOSE($C$39,V35+V37,V36+V37)</f>
        <v>2</v>
      </c>
      <c r="W39" s="249" t="n">
        <f aca="false">CHOOSE($C$39,W35+W37,W36+W37)</f>
        <v>2</v>
      </c>
      <c r="X39" s="249" t="n">
        <f aca="false">CHOOSE($C$39,X35+X37,X36+X37)</f>
        <v>2</v>
      </c>
      <c r="Y39" s="249" t="n">
        <f aca="false">CHOOSE($C$39,Y35+Y37,Y36+Y37)</f>
        <v>2</v>
      </c>
      <c r="Z39" s="249" t="n">
        <f aca="false">CHOOSE($C$39,Z35+Z37,Z36+Z37)</f>
        <v>2</v>
      </c>
      <c r="AA39" s="249" t="n">
        <f aca="false">CHOOSE($C$39,AA35+AA37,AA36+AA37)</f>
        <v>2</v>
      </c>
      <c r="AB39" s="249" t="n">
        <f aca="false">CHOOSE($C$39,AB35+AB37,AB36+AB37)</f>
        <v>2</v>
      </c>
      <c r="AC39" s="249" t="n">
        <f aca="false">CHOOSE($C$39,AC35+AC37,AC36+AC37)</f>
        <v>2</v>
      </c>
      <c r="AD39" s="249" t="n">
        <f aca="false">CHOOSE($C$39,AD35+AD37,AD36+AD37)</f>
        <v>2</v>
      </c>
      <c r="AE39" s="249" t="n">
        <f aca="false">CHOOSE($C$39,AE35+AE37,AE36+AE37)</f>
        <v>2</v>
      </c>
      <c r="AF39" s="249" t="n">
        <f aca="false">CHOOSE($C$39,AF35+AF37,AF36+AF37)</f>
        <v>2</v>
      </c>
      <c r="AG39" s="249" t="n">
        <f aca="false">CHOOSE($C$39,AG35+AG37,AG36+AG37)</f>
        <v>2</v>
      </c>
      <c r="AH39" s="249" t="n">
        <f aca="false">CHOOSE($C$39,AH35+AH37,AH36+AH37)</f>
        <v>2</v>
      </c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U74"/>
  <sheetViews>
    <sheetView showFormulas="false" showGridLines="true" showRowColHeaders="true" showZeros="true" rightToLeft="false" tabSelected="false" showOutlineSymbols="true" defaultGridColor="true" view="normal" topLeftCell="A19" colorId="64" zoomScale="75" zoomScaleNormal="75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1.28"/>
    <col collapsed="false" customWidth="true" hidden="false" outlineLevel="0" max="23" min="3" style="0" width="12.56"/>
    <col collapsed="false" customWidth="true" hidden="false" outlineLevel="0" max="24" min="24" style="0" width="13.28"/>
    <col collapsed="false" customWidth="true" hidden="false" outlineLevel="0" max="26" min="25" style="258" width="13.28"/>
    <col collapsed="false" customWidth="true" hidden="false" outlineLevel="0" max="33" min="27" style="0" width="13.28"/>
  </cols>
  <sheetData>
    <row r="2" customFormat="false" ht="18.75" hidden="false" customHeight="false" outlineLevel="0" collapsed="false">
      <c r="A2" s="6" t="str">
        <f aca="false">Assumptions!A3</f>
        <v>PROJECT NAME: LINCOLN</v>
      </c>
    </row>
    <row r="4" customFormat="false" ht="18.75" hidden="false" customHeight="false" outlineLevel="0" collapsed="false">
      <c r="A4" s="259" t="s">
        <v>205</v>
      </c>
      <c r="B4" s="260"/>
    </row>
    <row r="6" customFormat="false" ht="12.75" hidden="false" customHeight="false" outlineLevel="0" collapsed="false">
      <c r="C6" s="238" t="n">
        <f aca="false">'Power Price Assumption'!D9</f>
        <v>0.666666666666667</v>
      </c>
      <c r="D6" s="238" t="n">
        <f aca="false">'Power Price Assumption'!E9</f>
        <v>1.66666666666667</v>
      </c>
      <c r="E6" s="238" t="n">
        <f aca="false">'Power Price Assumption'!F9</f>
        <v>2.66666666666667</v>
      </c>
      <c r="F6" s="238" t="n">
        <f aca="false">'Power Price Assumption'!G9</f>
        <v>3.66666666666667</v>
      </c>
      <c r="G6" s="238" t="n">
        <f aca="false">'Power Price Assumption'!H9</f>
        <v>4.66666666666667</v>
      </c>
      <c r="H6" s="238" t="n">
        <f aca="false">'Power Price Assumption'!I9</f>
        <v>5.66666666666667</v>
      </c>
      <c r="I6" s="238" t="n">
        <f aca="false">'Power Price Assumption'!J9</f>
        <v>6.66666666666667</v>
      </c>
      <c r="J6" s="238" t="n">
        <f aca="false">'Power Price Assumption'!K9</f>
        <v>7.66666666666667</v>
      </c>
      <c r="K6" s="238" t="n">
        <f aca="false">'Power Price Assumption'!L9</f>
        <v>8.66666666666667</v>
      </c>
      <c r="L6" s="238" t="n">
        <f aca="false">'Power Price Assumption'!M9</f>
        <v>9.66666666666667</v>
      </c>
      <c r="M6" s="238" t="n">
        <f aca="false">'Power Price Assumption'!N9</f>
        <v>10.6666666666667</v>
      </c>
      <c r="N6" s="238" t="n">
        <f aca="false">'Power Price Assumption'!O9</f>
        <v>11.6666666666667</v>
      </c>
      <c r="O6" s="238" t="n">
        <f aca="false">'Power Price Assumption'!P9</f>
        <v>12.6666666666667</v>
      </c>
      <c r="P6" s="238" t="n">
        <f aca="false">'Power Price Assumption'!Q9</f>
        <v>13.6666666666667</v>
      </c>
      <c r="Q6" s="238" t="n">
        <f aca="false">'Power Price Assumption'!R9</f>
        <v>14.6666666666667</v>
      </c>
      <c r="R6" s="238" t="n">
        <f aca="false">'Power Price Assumption'!S9</f>
        <v>15.6666666666667</v>
      </c>
      <c r="S6" s="238" t="n">
        <f aca="false">'Power Price Assumption'!T9</f>
        <v>16.6666666666667</v>
      </c>
      <c r="T6" s="238" t="n">
        <f aca="false">'Power Price Assumption'!U9</f>
        <v>17.6666666666667</v>
      </c>
      <c r="U6" s="238" t="n">
        <f aca="false">'Power Price Assumption'!V9</f>
        <v>18.6666666666667</v>
      </c>
      <c r="V6" s="238" t="n">
        <f aca="false">'Power Price Assumption'!W9</f>
        <v>19.6666666666667</v>
      </c>
      <c r="W6" s="238" t="n">
        <f aca="false">'Power Price Assumption'!X9</f>
        <v>20.6666666666667</v>
      </c>
      <c r="X6" s="238" t="n">
        <f aca="false">'Power Price Assumption'!Y9</f>
        <v>21.6666666666667</v>
      </c>
      <c r="Y6" s="238" t="n">
        <f aca="false">'Power Price Assumption'!Z9</f>
        <v>22.6666666666667</v>
      </c>
      <c r="Z6" s="238" t="n">
        <f aca="false">'Power Price Assumption'!AA9</f>
        <v>23.6666666666667</v>
      </c>
      <c r="AA6" s="238" t="n">
        <f aca="false">'Power Price Assumption'!AB9</f>
        <v>24.6666666666667</v>
      </c>
      <c r="AB6" s="238" t="n">
        <f aca="false">'Power Price Assumption'!AC9</f>
        <v>25.6666666666667</v>
      </c>
      <c r="AC6" s="238" t="n">
        <f aca="false">'Power Price Assumption'!AD9</f>
        <v>26.6666666666667</v>
      </c>
      <c r="AD6" s="238" t="n">
        <f aca="false">'Power Price Assumption'!AE9</f>
        <v>27.6666666666667</v>
      </c>
      <c r="AE6" s="238" t="n">
        <f aca="false">'Power Price Assumption'!AF9</f>
        <v>28.6666666666667</v>
      </c>
      <c r="AF6" s="238" t="n">
        <f aca="false">'Power Price Assumption'!AG9</f>
        <v>29.6666666666667</v>
      </c>
      <c r="AG6" s="238" t="n">
        <f aca="false">'Power Price Assumption'!AH9</f>
        <v>30.6666666666667</v>
      </c>
    </row>
    <row r="7" customFormat="false" ht="13.5" hidden="false" customHeight="false" outlineLevel="0" collapsed="false">
      <c r="A7" s="261" t="s">
        <v>206</v>
      </c>
      <c r="B7" s="262"/>
      <c r="C7" s="262" t="n">
        <f aca="false">'Power Price Assumption'!D10</f>
        <v>2002</v>
      </c>
      <c r="D7" s="262" t="n">
        <f aca="false">'Power Price Assumption'!E10</f>
        <v>2003</v>
      </c>
      <c r="E7" s="262" t="n">
        <f aca="false">'Power Price Assumption'!F10</f>
        <v>2004</v>
      </c>
      <c r="F7" s="262" t="n">
        <f aca="false">'Power Price Assumption'!G10</f>
        <v>2005</v>
      </c>
      <c r="G7" s="262" t="n">
        <f aca="false">'Power Price Assumption'!H10</f>
        <v>2006</v>
      </c>
      <c r="H7" s="262" t="n">
        <f aca="false">'Power Price Assumption'!I10</f>
        <v>2007</v>
      </c>
      <c r="I7" s="262" t="n">
        <f aca="false">'Power Price Assumption'!J10</f>
        <v>2008</v>
      </c>
      <c r="J7" s="262" t="n">
        <f aca="false">'Power Price Assumption'!K10</f>
        <v>2009</v>
      </c>
      <c r="K7" s="262" t="n">
        <f aca="false">'Power Price Assumption'!L10</f>
        <v>2010</v>
      </c>
      <c r="L7" s="262" t="n">
        <f aca="false">'Power Price Assumption'!M10</f>
        <v>2011</v>
      </c>
      <c r="M7" s="262" t="n">
        <f aca="false">'Power Price Assumption'!N10</f>
        <v>2012</v>
      </c>
      <c r="N7" s="262" t="n">
        <f aca="false">'Power Price Assumption'!O10</f>
        <v>2013</v>
      </c>
      <c r="O7" s="262" t="n">
        <f aca="false">'Power Price Assumption'!P10</f>
        <v>2014</v>
      </c>
      <c r="P7" s="262" t="n">
        <f aca="false">'Power Price Assumption'!Q10</f>
        <v>2015</v>
      </c>
      <c r="Q7" s="262" t="n">
        <f aca="false">'Power Price Assumption'!R10</f>
        <v>2016</v>
      </c>
      <c r="R7" s="262" t="n">
        <f aca="false">'Power Price Assumption'!S10</f>
        <v>2017</v>
      </c>
      <c r="S7" s="262" t="n">
        <f aca="false">'Power Price Assumption'!T10</f>
        <v>2018</v>
      </c>
      <c r="T7" s="262" t="n">
        <f aca="false">'Power Price Assumption'!U10</f>
        <v>2019</v>
      </c>
      <c r="U7" s="262" t="n">
        <f aca="false">'Power Price Assumption'!V10</f>
        <v>2020</v>
      </c>
      <c r="V7" s="262" t="n">
        <f aca="false">'Power Price Assumption'!W10</f>
        <v>2021</v>
      </c>
      <c r="W7" s="262" t="n">
        <f aca="false">'Power Price Assumption'!X10</f>
        <v>2022</v>
      </c>
      <c r="X7" s="262" t="n">
        <f aca="false">'Power Price Assumption'!Y10</f>
        <v>2023</v>
      </c>
      <c r="Y7" s="262" t="n">
        <f aca="false">'Power Price Assumption'!Z10</f>
        <v>2024</v>
      </c>
      <c r="Z7" s="262" t="n">
        <f aca="false">'Power Price Assumption'!AA10</f>
        <v>2025</v>
      </c>
      <c r="AA7" s="262" t="n">
        <f aca="false">'Power Price Assumption'!AB10</f>
        <v>2026</v>
      </c>
      <c r="AB7" s="262" t="n">
        <f aca="false">'Power Price Assumption'!AC10</f>
        <v>2027</v>
      </c>
      <c r="AC7" s="262" t="n">
        <f aca="false">'Power Price Assumption'!AD10</f>
        <v>2028</v>
      </c>
      <c r="AD7" s="262" t="n">
        <f aca="false">'Power Price Assumption'!AE10</f>
        <v>2029</v>
      </c>
      <c r="AE7" s="262" t="n">
        <f aca="false">'Power Price Assumption'!AF10</f>
        <v>2030</v>
      </c>
      <c r="AF7" s="262" t="n">
        <f aca="false">'Power Price Assumption'!AG10</f>
        <v>2031</v>
      </c>
      <c r="AG7" s="262" t="n">
        <f aca="false">'Power Price Assumption'!AH10</f>
        <v>2032</v>
      </c>
    </row>
    <row r="8" customFormat="false" ht="12.75" hidden="false" customHeight="false" outlineLevel="0" collapsed="false">
      <c r="A8" s="263"/>
      <c r="C8" s="264" t="n">
        <f aca="false">Assumptions!I18+365.25*Assumptions!I19/12</f>
        <v>37620.5</v>
      </c>
      <c r="D8" s="264" t="n">
        <f aca="false">C8+365.25</f>
        <v>37985.75</v>
      </c>
      <c r="E8" s="264" t="n">
        <f aca="false">D8+365.25</f>
        <v>38351</v>
      </c>
      <c r="F8" s="264" t="n">
        <f aca="false">E8+365.25</f>
        <v>38716.25</v>
      </c>
      <c r="G8" s="264" t="n">
        <f aca="false">F8+365.25</f>
        <v>39081.5</v>
      </c>
      <c r="H8" s="264" t="n">
        <f aca="false">G8+365.25</f>
        <v>39446.75</v>
      </c>
      <c r="I8" s="264" t="n">
        <f aca="false">H8+365.25</f>
        <v>39812</v>
      </c>
      <c r="J8" s="264" t="n">
        <f aca="false">I8+365.25</f>
        <v>40177.25</v>
      </c>
      <c r="K8" s="264" t="n">
        <f aca="false">J8+365.25</f>
        <v>40542.5</v>
      </c>
      <c r="L8" s="264" t="n">
        <f aca="false">K8+365.25</f>
        <v>40907.75</v>
      </c>
      <c r="M8" s="264" t="n">
        <f aca="false">L8+365.25</f>
        <v>41273</v>
      </c>
      <c r="N8" s="264" t="n">
        <f aca="false">M8+365.25</f>
        <v>41638.25</v>
      </c>
      <c r="O8" s="264" t="n">
        <f aca="false">N8+365.25</f>
        <v>42003.5</v>
      </c>
      <c r="P8" s="264" t="n">
        <f aca="false">O8+365.25</f>
        <v>42368.75</v>
      </c>
      <c r="Q8" s="264" t="n">
        <f aca="false">P8+365.25</f>
        <v>42734</v>
      </c>
      <c r="R8" s="264" t="n">
        <f aca="false">Q8+365.25</f>
        <v>43099.25</v>
      </c>
      <c r="S8" s="264" t="n">
        <f aca="false">R8+365.25</f>
        <v>43464.5</v>
      </c>
      <c r="T8" s="264" t="n">
        <f aca="false">S8+365.25</f>
        <v>43829.75</v>
      </c>
      <c r="U8" s="264" t="n">
        <f aca="false">T8+365.25</f>
        <v>44195</v>
      </c>
      <c r="V8" s="264" t="n">
        <f aca="false">U8+365.25</f>
        <v>44560.25</v>
      </c>
      <c r="W8" s="264" t="n">
        <f aca="false">V8+365.25</f>
        <v>44925.5</v>
      </c>
      <c r="X8" s="264" t="n">
        <f aca="false">W8+365.25</f>
        <v>45290.75</v>
      </c>
      <c r="Y8" s="264" t="n">
        <f aca="false">X8+365.25</f>
        <v>45656</v>
      </c>
      <c r="Z8" s="264" t="n">
        <f aca="false">Y8+365.25</f>
        <v>46021.25</v>
      </c>
      <c r="AA8" s="264" t="n">
        <f aca="false">Z8+365.25</f>
        <v>46386.5</v>
      </c>
      <c r="AB8" s="264" t="n">
        <f aca="false">AA8+365.25</f>
        <v>46751.75</v>
      </c>
      <c r="AC8" s="264" t="n">
        <f aca="false">AB8+365.25</f>
        <v>47117</v>
      </c>
      <c r="AD8" s="264" t="n">
        <f aca="false">AC8+365.25</f>
        <v>47482.25</v>
      </c>
      <c r="AE8" s="264" t="n">
        <f aca="false">AD8+365.25</f>
        <v>47847.5</v>
      </c>
      <c r="AF8" s="264" t="n">
        <f aca="false">AE8+365.25</f>
        <v>48212.75</v>
      </c>
      <c r="AG8" s="264" t="n">
        <f aca="false">AF8+365.25</f>
        <v>48578</v>
      </c>
    </row>
    <row r="9" customFormat="false" ht="12.75" hidden="false" customHeight="false" outlineLevel="0" collapsed="false">
      <c r="A9" s="265" t="s">
        <v>207</v>
      </c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</row>
    <row r="10" customFormat="false" ht="12.75" hidden="false" customHeight="false" outlineLevel="0" collapsed="false">
      <c r="A10" s="267" t="s">
        <v>208</v>
      </c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</row>
    <row r="11" customFormat="false" ht="12.75" hidden="false" customHeight="false" outlineLevel="0" collapsed="false">
      <c r="A11" s="268" t="s">
        <v>209</v>
      </c>
      <c r="C11" s="269" t="n">
        <f aca="false">IF(AND(B6&lt;Assumptions!$I$52,IS!C6&lt;Assumptions!$I$52),C6*12*Assumptions!$I$53*Assumptions!$I$57,IF(AND(B6&lt;Assumptions!$I$52,IS!C6&gt;Assumptions!$I$52),(1-C6)*12*Assumptions!$I$53*Assumptions!$I$57,0))</f>
        <v>7604.8</v>
      </c>
      <c r="D11" s="269" t="n">
        <f aca="false">IF(AND(C6&lt;Assumptions!$I$52,IS!D6&lt;Assumptions!$I$52),12*Assumptions!$I$53*Assumptions!$I$57,IF(AND(IS!C6&lt;Assumptions!$I$52,IS!D6&gt;Assumptions!$I$52),(1-$C$6)*12*Assumptions!$I$53*Assumptions!$I$57,0))</f>
        <v>11407.2</v>
      </c>
      <c r="E11" s="269" t="n">
        <f aca="false">IF(AND(D6&lt;Assumptions!$I$52,IS!E6&lt;Assumptions!$I$52),12*(Assumptions!$I$53/2)*Assumptions!$I$57,IF(AND(IS!D6&lt;Assumptions!$I$52,IS!E6&gt;Assumptions!$I$52),(1-$C$6)*12*Assumptions!$I$53*Assumptions!$I$57,0))</f>
        <v>5703.6</v>
      </c>
      <c r="F11" s="269" t="n">
        <f aca="false">IF(AND(E6&lt;Assumptions!$I$52,IS!F6&lt;Assumptions!$I$52),12*(Assumptions!$I$53/3)*Assumptions!$I$57,IF(AND(IS!E6&lt;Assumptions!$I$52,IS!F6&gt;Assumptions!$I$52),(1-$C$6)*12*Assumptions!$I$53*Assumptions!$I$57,0))</f>
        <v>3802.4</v>
      </c>
      <c r="G11" s="269" t="n">
        <f aca="false">IF(AND(F6&lt;Assumptions!$I$52,IS!G6&lt;Assumptions!$I$52),12*Assumptions!$I$53*Assumptions!$I$57,IF(AND(IS!F6&lt;Assumptions!$I$52,IS!G6&gt;Assumptions!$I$52),(1-$C$6)*12*Assumptions!$I$53*Assumptions!$I$57,0))</f>
        <v>0</v>
      </c>
      <c r="H11" s="269" t="n">
        <f aca="false">IF(AND(G6&lt;Assumptions!$I$52,IS!H6&lt;Assumptions!$I$52),12*Assumptions!$I$53*Assumptions!$I$57,IF(AND(IS!G6&lt;Assumptions!$I$52,IS!H6&gt;Assumptions!$I$52),(1-$C$6)*12*Assumptions!$I$53*Assumptions!$I$57,0))</f>
        <v>0</v>
      </c>
      <c r="I11" s="269" t="n">
        <f aca="false">IF(AND(H6&lt;Assumptions!$I$52,IS!I6&lt;Assumptions!$I$52),12*Assumptions!$I$53*Assumptions!$I$57,IF(AND(IS!H6&lt;Assumptions!$I$52,IS!I6&gt;Assumptions!$I$52),(1-$C$6)*12*Assumptions!$I$53*Assumptions!$I$57,0))</f>
        <v>0</v>
      </c>
      <c r="J11" s="269" t="n">
        <f aca="false">IF(AND(I6&lt;Assumptions!$I$52,IS!J6&lt;Assumptions!$I$52),12*Assumptions!$I$53*Assumptions!$I$57,IF(AND(IS!I6&lt;Assumptions!$I$52,IS!J6&gt;Assumptions!$I$52),(1-$C$6)*12*Assumptions!$I$53*Assumptions!$I$57,0))</f>
        <v>0</v>
      </c>
      <c r="K11" s="269" t="n">
        <f aca="false">IF(AND(J6&lt;Assumptions!$I$52,IS!K6&lt;Assumptions!$I$52),12*Assumptions!$I$53*Assumptions!$I$57,IF(AND(IS!J6&lt;Assumptions!$I$52,IS!K6&gt;Assumptions!$I$52),(1-$C$6)*12*Assumptions!$I$53*Assumptions!$I$57,0))</f>
        <v>0</v>
      </c>
      <c r="L11" s="269" t="n">
        <f aca="false">IF(AND(K6&lt;Assumptions!$I$52,IS!L6&lt;Assumptions!$I$52),12*Assumptions!$I$53*Assumptions!$I$57,IF(AND(IS!K6&lt;Assumptions!$I$52,IS!L6&gt;Assumptions!$I$52),(1-$C$6)*12*Assumptions!$I$53*Assumptions!$I$57,0))</f>
        <v>0</v>
      </c>
      <c r="M11" s="269" t="n">
        <f aca="false">IF(AND(L6&lt;Assumptions!$I$52,IS!M6&lt;Assumptions!$I$52),12*Assumptions!$I$53*Assumptions!$I$57,IF(AND(IS!L6&lt;Assumptions!$I$52,IS!M6&gt;Assumptions!$I$52),(1-$C$6)*12*Assumptions!$I$53*Assumptions!$I$57,0))</f>
        <v>0</v>
      </c>
      <c r="N11" s="269" t="n">
        <f aca="false">IF(AND(M6&lt;Assumptions!$I$52,IS!N6&lt;Assumptions!$I$52),12*Assumptions!$I$53*Assumptions!$I$57,IF(AND(IS!M6&lt;Assumptions!$I$52,IS!N6&gt;Assumptions!$I$52),(1-$C$6)*12*Assumptions!$I$53*Assumptions!$I$57,0))</f>
        <v>0</v>
      </c>
      <c r="O11" s="269" t="n">
        <f aca="false">IF(AND(N6&lt;Assumptions!$I$52,IS!O6&lt;Assumptions!$I$52),12*Assumptions!$I$53*Assumptions!$I$57,IF(AND(IS!N6&lt;Assumptions!$I$52,IS!O6&gt;Assumptions!$I$52),(1-$C$6)*12*Assumptions!$I$53*Assumptions!$I$57,0))</f>
        <v>0</v>
      </c>
      <c r="P11" s="269" t="n">
        <f aca="false">IF(AND(O6&lt;Assumptions!$I$52,IS!P6&lt;Assumptions!$I$52),12*Assumptions!$I$53*Assumptions!$I$57,IF(AND(IS!O6&lt;Assumptions!$I$52,IS!P6&gt;Assumptions!$I$52),(1-$C$6)*12*Assumptions!$I$53*Assumptions!$I$57,0))</f>
        <v>0</v>
      </c>
      <c r="Q11" s="269" t="n">
        <f aca="false">IF(AND(P6&lt;Assumptions!$I$52,IS!Q6&lt;Assumptions!$I$52),12*Assumptions!$I$53*Assumptions!$I$57,IF(AND(IS!P6&lt;Assumptions!$I$52,IS!Q6&gt;Assumptions!$I$52),(1-$C$6)*12*Assumptions!$I$53*Assumptions!$I$57,0))</f>
        <v>0</v>
      </c>
      <c r="R11" s="269" t="n">
        <f aca="false">IF(AND(Q6&lt;Assumptions!$I$52,IS!R6&lt;Assumptions!$I$52),12*Assumptions!$I$53*Assumptions!$I$57,IF(AND(IS!Q6&lt;Assumptions!$I$52,IS!R6&gt;Assumptions!$I$52),(1-$C$6)*12*Assumptions!$I$53*Assumptions!$I$57,0))</f>
        <v>0</v>
      </c>
      <c r="S11" s="269" t="n">
        <f aca="false">IF(AND(R6&lt;Assumptions!$I$52,IS!S6&lt;Assumptions!$I$52),12*Assumptions!$I$53*Assumptions!$I$57,IF(AND(IS!R6&lt;Assumptions!$I$52,IS!S6&gt;Assumptions!$I$52),(1-$C$6)*12*Assumptions!$I$53*Assumptions!$I$57,0))</f>
        <v>0</v>
      </c>
      <c r="T11" s="269" t="n">
        <f aca="false">IF(AND(S6&lt;Assumptions!$I$52,IS!T6&lt;Assumptions!$I$52),12*Assumptions!$I$53*Assumptions!$I$57,IF(AND(IS!S6&lt;Assumptions!$I$52,IS!T6&gt;Assumptions!$I$52),(1-$C$6)*12*Assumptions!$I$53*Assumptions!$I$57,0))</f>
        <v>0</v>
      </c>
      <c r="U11" s="269" t="n">
        <f aca="false">IF(AND(T6&lt;Assumptions!$I$52,IS!U6&lt;Assumptions!$I$52),12*Assumptions!$I$53*Assumptions!$I$57,IF(AND(IS!T6&lt;Assumptions!$I$52,IS!U6&gt;Assumptions!$I$52),(1-$C$6)*12*Assumptions!$I$53*Assumptions!$I$57,0))</f>
        <v>0</v>
      </c>
      <c r="V11" s="269" t="n">
        <f aca="false">IF(AND(U6&lt;Assumptions!$I$52,IS!V6&lt;Assumptions!$I$52),12*Assumptions!$I$53*Assumptions!$I$57,IF(AND(IS!U6&lt;Assumptions!$I$52,IS!V6&gt;Assumptions!$I$52),(1-$C$6)*12*Assumptions!$I$53*Assumptions!$I$57,0))</f>
        <v>0</v>
      </c>
      <c r="W11" s="269" t="n">
        <f aca="false">IF(AND(V6&lt;Assumptions!$I$52,IS!W6&lt;Assumptions!$I$52),12*Assumptions!$I$53*Assumptions!$I$57,IF(AND(IS!V6&lt;Assumptions!$I$52,IS!W6&gt;Assumptions!$I$52),(1-$C$6)*12*Assumptions!$I$53*Assumptions!$I$57,0))</f>
        <v>0</v>
      </c>
      <c r="X11" s="269" t="n">
        <f aca="false">IF(AND(W6&lt;Assumptions!$I$52,IS!X6&lt;Assumptions!$I$52),12*Assumptions!$I$53*Assumptions!$I$57,IF(AND(IS!W6&lt;Assumptions!$I$52,IS!X6&gt;Assumptions!$I$52),(1-$C$6)*12*Assumptions!$I$53*Assumptions!$I$57,0))</f>
        <v>0</v>
      </c>
      <c r="Y11" s="269" t="n">
        <f aca="false">IF(AND(X6&lt;Assumptions!$I$52,IS!Y6&lt;Assumptions!$I$52),12*Assumptions!$I$53*Assumptions!$I$57,IF(AND(IS!X6&lt;Assumptions!$I$52,IS!Y6&gt;Assumptions!$I$52),(1-$C$6)*12*Assumptions!$I$53*Assumptions!$I$57,0))</f>
        <v>0</v>
      </c>
      <c r="Z11" s="269" t="n">
        <f aca="false">IF(AND(Y6&lt;Assumptions!$I$52,IS!Z6&lt;Assumptions!$I$52),12*Assumptions!$I$53*Assumptions!$I$57,IF(AND(IS!Y6&lt;Assumptions!$I$52,IS!Z6&gt;Assumptions!$I$52),(1-$C$6)*12*Assumptions!$I$53*Assumptions!$I$57,0))</f>
        <v>0</v>
      </c>
      <c r="AA11" s="269" t="n">
        <f aca="false">IF(AND(Z6&lt;Assumptions!$I$52,IS!AA6&lt;Assumptions!$I$52),12*Assumptions!$I$53*Assumptions!$I$57,IF(AND(IS!Z6&lt;Assumptions!$I$52,IS!AA6&gt;Assumptions!$I$52),(1-$C$6)*12*Assumptions!$I$53*Assumptions!$I$57,0))</f>
        <v>0</v>
      </c>
      <c r="AB11" s="269" t="n">
        <f aca="false">IF(AND(AA6&lt;Assumptions!$I$52,IS!AB6&lt;Assumptions!$I$52),12*Assumptions!$I$53*Assumptions!$I$57,IF(AND(IS!AA6&lt;Assumptions!$I$52,IS!AB6&gt;Assumptions!$I$52),(1-$C$6)*12*Assumptions!$I$53*Assumptions!$I$57,0))</f>
        <v>0</v>
      </c>
      <c r="AC11" s="269" t="n">
        <f aca="false">IF(AND(AB6&lt;Assumptions!$I$52,IS!AC6&lt;Assumptions!$I$52),12*Assumptions!$I$53*Assumptions!$I$57,IF(AND(IS!AB6&lt;Assumptions!$I$52,IS!AC6&gt;Assumptions!$I$52),(1-$C$6)*12*Assumptions!$I$53*Assumptions!$I$57,0))</f>
        <v>0</v>
      </c>
      <c r="AD11" s="269" t="n">
        <f aca="false">IF(AND(AC6&lt;Assumptions!$I$52,IS!AD6&lt;Assumptions!$I$52),12*Assumptions!$I$53*Assumptions!$I$57,IF(AND(IS!AC6&lt;Assumptions!$I$52,IS!AD6&gt;Assumptions!$I$52),(1-$C$6)*12*Assumptions!$I$53*Assumptions!$I$57,0))</f>
        <v>0</v>
      </c>
      <c r="AE11" s="269" t="n">
        <f aca="false">IF(AND(AD6&lt;Assumptions!$I$52,IS!AE6&lt;Assumptions!$I$52),12*Assumptions!$I$53*Assumptions!$I$57,IF(AND(IS!AD6&lt;Assumptions!$I$52,IS!AE6&gt;Assumptions!$I$52),(1-$C$6)*12*Assumptions!$I$53*Assumptions!$I$57,0))</f>
        <v>0</v>
      </c>
      <c r="AF11" s="269" t="n">
        <f aca="false">IF(AND(AE6&lt;Assumptions!$I$52,IS!AF6&lt;Assumptions!$I$52),12*Assumptions!$I$53*Assumptions!$I$57,IF(AND(IS!AE6&lt;Assumptions!$I$52,IS!AF6&gt;Assumptions!$I$52),(1-$C$6)*12*Assumptions!$I$53*Assumptions!$I$57,0))</f>
        <v>0</v>
      </c>
      <c r="AG11" s="269" t="n">
        <f aca="false">IF(AND(AF6&lt;Assumptions!$I$52,IS!AG6&lt;Assumptions!$I$52),12*Assumptions!$I$53*Assumptions!$I$57,IF(AND(IS!AF6&lt;Assumptions!$I$52,IS!AG6&gt;Assumptions!$I$52),(1-$C$6)*12*Assumptions!$I$53*Assumptions!$I$57,0))</f>
        <v>0</v>
      </c>
    </row>
    <row r="12" customFormat="false" ht="12.75" hidden="false" customHeight="false" outlineLevel="0" collapsed="false">
      <c r="A12" s="268" t="s">
        <v>210</v>
      </c>
      <c r="C12" s="269" t="n">
        <f aca="false">IF(AND(C6&lt;Assumptions!$I$52,IS!B6&lt;Assumptions!$I$52),Assumptions!$P$27*Assumptions!$I$58/1000,IF(AND(B6&lt;Assumptions!$I$52,IS!C6&gt;Assumptions!$I$52),Assumptions!$P$27*Assumptions!$I$58/1000*IS!$C$6,0))</f>
        <v>1.89336</v>
      </c>
      <c r="D12" s="269" t="n">
        <f aca="false">IF(AND(D6&lt;Assumptions!$I$52,IS!C6&lt;Assumptions!$I$52),C12*(1+Assumptions!$O$21),IF(AND(IS!C6&lt;Assumptions!$I$52,IS!D6&gt;Assumptions!$I$52),C12*IS!$C$6*(1+Assumptions!$O$21),0))</f>
        <v>1.9501608</v>
      </c>
      <c r="E12" s="269" t="n">
        <f aca="false">IF(AND(E6&lt;Assumptions!$I$52,IS!D6&lt;Assumptions!$I$52),D12*(1+Assumptions!$O$21),IF(AND(IS!D6&lt;Assumptions!$I$52,IS!E6&gt;Assumptions!$I$52),D12*IS!$C$6*(1+Assumptions!$O$21),0))</f>
        <v>2.008665624</v>
      </c>
      <c r="F12" s="269" t="n">
        <f aca="false">IF(AND(F6&lt;Assumptions!$I$52,IS!E6&lt;Assumptions!$I$52),E12*(1+Assumptions!$O$21),IF(AND(IS!E6&lt;Assumptions!$I$52,IS!F6&gt;Assumptions!$I$52),E12*IS!$C$6*(1+Assumptions!$O$21),0))</f>
        <v>1.37928372848</v>
      </c>
      <c r="G12" s="269" t="n">
        <f aca="false">IF(AND(G6&lt;Assumptions!$I$52,IS!F6&lt;Assumptions!$I$52),F12*(1+Assumptions!$O$21),IF(AND(IS!F6&lt;Assumptions!$I$52,IS!G6&gt;Assumptions!$I$52),F12*IS!$C$6*(1+Assumptions!$O$21),0))</f>
        <v>0</v>
      </c>
      <c r="H12" s="269" t="n">
        <f aca="false">IF(AND(H6&lt;Assumptions!$I$52,IS!G6&lt;Assumptions!$I$52),G12*(1+Assumptions!$O$21),IF(AND(IS!G6&lt;Assumptions!$I$52,IS!H6&gt;Assumptions!$I$52),G12*IS!$C$6*(1+Assumptions!$O$21),0))</f>
        <v>0</v>
      </c>
      <c r="I12" s="269" t="n">
        <f aca="false">IF(AND(I6&lt;Assumptions!$I$52,IS!H6&lt;Assumptions!$I$52),H12*(1+Assumptions!$O$21),IF(AND(IS!H6&lt;Assumptions!$I$52,IS!I6&gt;Assumptions!$I$52),H12*IS!$C$6*(1+Assumptions!$O$21),0))</f>
        <v>0</v>
      </c>
      <c r="J12" s="269" t="n">
        <f aca="false">IF(AND(J6&lt;Assumptions!$I$52,IS!I6&lt;Assumptions!$I$52),I12*(1+Assumptions!$O$21),IF(AND(IS!I6&lt;Assumptions!$I$52,IS!J6&gt;Assumptions!$I$52),I12*IS!$C$6*(1+Assumptions!$O$21),0))</f>
        <v>0</v>
      </c>
      <c r="K12" s="269" t="n">
        <f aca="false">IF(AND(K6&lt;Assumptions!$I$52,IS!J6&lt;Assumptions!$I$52),J12*(1+Assumptions!$O$21),IF(AND(IS!J6&lt;Assumptions!$I$52,IS!K6&gt;Assumptions!$I$52),J12*IS!$C$6*(1+Assumptions!$O$21),0))</f>
        <v>0</v>
      </c>
      <c r="L12" s="269" t="n">
        <f aca="false">IF(AND(L6&lt;Assumptions!$I$52,IS!K6&lt;Assumptions!$I$52),K12*(1+Assumptions!$O$21),IF(AND(IS!K6&lt;Assumptions!$I$52,IS!L6&gt;Assumptions!$I$52),K12*IS!$C$6*(1+Assumptions!$O$21),0))</f>
        <v>0</v>
      </c>
      <c r="M12" s="269" t="n">
        <f aca="false">IF(AND(M6&lt;Assumptions!$I$52,IS!L6&lt;Assumptions!$I$52),L12*(1+Assumptions!$O$21),IF(AND(IS!L6&lt;Assumptions!$I$52,IS!M6&gt;Assumptions!$I$52),L12*IS!$C$6*(1+Assumptions!$O$21),0))</f>
        <v>0</v>
      </c>
      <c r="N12" s="269" t="n">
        <f aca="false">IF(AND(N6&lt;Assumptions!$I$52,IS!M6&lt;Assumptions!$I$52),M12*(1+Assumptions!$O$21),IF(AND(IS!M6&lt;Assumptions!$I$52,IS!N6&gt;Assumptions!$I$52),M12*IS!$C$6*(1+Assumptions!$O$21),0))</f>
        <v>0</v>
      </c>
      <c r="O12" s="269" t="n">
        <f aca="false">IF(AND(O6&lt;Assumptions!$I$52,IS!N6&lt;Assumptions!$I$52),N12*(1+Assumptions!$O$21),IF(AND(IS!N6&lt;Assumptions!$I$52,IS!O6&gt;Assumptions!$I$52),N12*IS!$C$6*(1+Assumptions!$O$21),0))</f>
        <v>0</v>
      </c>
      <c r="P12" s="269" t="n">
        <f aca="false">IF(AND(P6&lt;Assumptions!$I$52,IS!O6&lt;Assumptions!$I$52),O12*(1+Assumptions!$O$21),IF(AND(IS!O6&lt;Assumptions!$I$52,IS!P6&gt;Assumptions!$I$52),O12*IS!$C$6*(1+Assumptions!$O$21),0))</f>
        <v>0</v>
      </c>
      <c r="Q12" s="269" t="n">
        <f aca="false">IF(AND(Q6&lt;Assumptions!$I$52,IS!P6&lt;Assumptions!$I$52),P12*(1+Assumptions!$O$21),IF(AND(IS!P6&lt;Assumptions!$I$52,IS!Q6&gt;Assumptions!$I$52),P12*IS!$C$6*(1+Assumptions!$O$21),0))</f>
        <v>0</v>
      </c>
      <c r="R12" s="269" t="n">
        <f aca="false">IF(AND(R6&lt;Assumptions!$I$52,IS!Q6&lt;Assumptions!$I$52),Q12*(1+Assumptions!$O$21),IF(AND(IS!Q6&lt;Assumptions!$I$52,IS!R6&gt;Assumptions!$I$52),Q12*IS!$C$6*(1+Assumptions!$O$21),0))</f>
        <v>0</v>
      </c>
      <c r="S12" s="269" t="n">
        <f aca="false">IF(AND(S6&lt;Assumptions!$I$52,IS!R6&lt;Assumptions!$I$52),R12*(1+Assumptions!$O$21),IF(AND(IS!R6&lt;Assumptions!$I$52,IS!S6&gt;Assumptions!$I$52),R12*IS!$C$6*(1+Assumptions!$O$21),0))</f>
        <v>0</v>
      </c>
      <c r="T12" s="269" t="n">
        <f aca="false">IF(AND(T6&lt;Assumptions!$I$52,IS!S6&lt;Assumptions!$I$52),S12*(1+Assumptions!$O$21),IF(AND(IS!S6&lt;Assumptions!$I$52,IS!T6&gt;Assumptions!$I$52),S12*IS!$C$6*(1+Assumptions!$O$21),0))</f>
        <v>0</v>
      </c>
      <c r="U12" s="269" t="n">
        <f aca="false">IF(AND(U6&lt;Assumptions!$I$52,IS!T6&lt;Assumptions!$I$52),T12*(1+Assumptions!$O$21),IF(AND(IS!T6&lt;Assumptions!$I$52,IS!U6&gt;Assumptions!$I$52),T12*IS!$C$6*(1+Assumptions!$O$21),0))</f>
        <v>0</v>
      </c>
      <c r="V12" s="269" t="n">
        <f aca="false">IF(AND(V6&lt;Assumptions!$I$52,IS!U6&lt;Assumptions!$I$52),U12*(1+Assumptions!$O$21),IF(AND(IS!U6&lt;Assumptions!$I$52,IS!V6&gt;Assumptions!$I$52),U12*IS!$C$6*(1+Assumptions!$O$21),0))</f>
        <v>0</v>
      </c>
      <c r="W12" s="269" t="n">
        <f aca="false">IF(AND(W6&lt;Assumptions!$I$52,IS!V6&lt;Assumptions!$I$52),V12*(1+Assumptions!$O$21),IF(AND(IS!V6&lt;Assumptions!$I$52,IS!W6&gt;Assumptions!$I$52),V12*IS!$C$6*(1+Assumptions!$O$21),0))</f>
        <v>0</v>
      </c>
      <c r="X12" s="269" t="n">
        <f aca="false">IF(AND(X6&lt;Assumptions!$I$52,IS!W6&lt;Assumptions!$I$52),W12*(1+Assumptions!$O$21),IF(AND(IS!W6&lt;Assumptions!$I$52,IS!X6&gt;Assumptions!$I$52),W12*IS!$C$6*(1+Assumptions!$O$21),0))</f>
        <v>0</v>
      </c>
      <c r="Y12" s="269" t="n">
        <f aca="false">IF(AND(Y6&lt;Assumptions!$I$52,IS!X6&lt;Assumptions!$I$52),X12*(1+Assumptions!$O$21),IF(AND(IS!X6&lt;Assumptions!$I$52,IS!Y6&gt;Assumptions!$I$52),X12*IS!$C$6*(1+Assumptions!$O$21),0))</f>
        <v>0</v>
      </c>
      <c r="Z12" s="269" t="n">
        <f aca="false">IF(AND(Z6&lt;Assumptions!$I$52,IS!Y6&lt;Assumptions!$I$52),Y12*(1+Assumptions!$O$21),IF(AND(IS!Y6&lt;Assumptions!$I$52,IS!Z6&gt;Assumptions!$I$52),Y12*IS!$C$6*(1+Assumptions!$O$21),0))</f>
        <v>0</v>
      </c>
      <c r="AA12" s="269" t="n">
        <f aca="false">IF(AND(AA6&lt;Assumptions!$I$52,IS!Z6&lt;Assumptions!$I$52),Z12*(1+Assumptions!$O$21),IF(AND(IS!Z6&lt;Assumptions!$I$52,IS!AA6&gt;Assumptions!$I$52),Z12*IS!$C$6*(1+Assumptions!$O$21),0))</f>
        <v>0</v>
      </c>
      <c r="AB12" s="269" t="n">
        <f aca="false">IF(AND(AB6&lt;Assumptions!$I$52,IS!AA6&lt;Assumptions!$I$52),AA12*(1+Assumptions!$O$21),IF(AND(IS!AA6&lt;Assumptions!$I$52,IS!AB6&gt;Assumptions!$I$52),AA12*IS!$C$6*(1+Assumptions!$O$21),0))</f>
        <v>0</v>
      </c>
      <c r="AC12" s="269" t="n">
        <f aca="false">IF(AND(AC6&lt;Assumptions!$I$52,IS!AB6&lt;Assumptions!$I$52),AB12*(1+Assumptions!$O$21),IF(AND(IS!AB6&lt;Assumptions!$I$52,IS!AC6&gt;Assumptions!$I$52),AB12*IS!$C$6*(1+Assumptions!$O$21),0))</f>
        <v>0</v>
      </c>
      <c r="AD12" s="269" t="n">
        <f aca="false">IF(AND(AD6&lt;Assumptions!$I$52,IS!AC6&lt;Assumptions!$I$52),AC12*(1+Assumptions!$O$21),IF(AND(IS!AC6&lt;Assumptions!$I$52,IS!AD6&gt;Assumptions!$I$52),AC12*IS!$C$6*(1+Assumptions!$O$21),0))</f>
        <v>0</v>
      </c>
      <c r="AE12" s="269" t="n">
        <f aca="false">IF(AND(AE6&lt;Assumptions!$I$52,IS!AD6&lt;Assumptions!$I$52),AD12*(1+Assumptions!$O$21),IF(AND(IS!AD6&lt;Assumptions!$I$52,IS!AE6&gt;Assumptions!$I$52),AD12*IS!$C$6*(1+Assumptions!$O$21),0))</f>
        <v>0</v>
      </c>
      <c r="AF12" s="269" t="n">
        <f aca="false">IF(AND(AF6&lt;Assumptions!$I$52,IS!AE6&lt;Assumptions!$I$52),AE12*(1+Assumptions!$O$21),IF(AND(IS!AE6&lt;Assumptions!$I$52,IS!AF6&gt;Assumptions!$I$52),AE12*IS!$C$6*(1+Assumptions!$O$21),0))</f>
        <v>0</v>
      </c>
      <c r="AG12" s="269" t="n">
        <f aca="false">IF(AND(AG6&lt;Assumptions!$I$52,IS!AF6&lt;Assumptions!$I$52),AF12*(1+Assumptions!$O$21),IF(AND(IS!AF6&lt;Assumptions!$I$52,IS!AG6&gt;Assumptions!$I$52),AF12*IS!$C$6*(1+Assumptions!$O$21),0))</f>
        <v>0</v>
      </c>
    </row>
    <row r="13" customFormat="false" ht="12.75" hidden="false" customHeight="false" outlineLevel="0" collapsed="false">
      <c r="A13" s="268" t="s">
        <v>211</v>
      </c>
      <c r="C13" s="269" t="n">
        <v>0</v>
      </c>
      <c r="D13" s="269" t="n">
        <v>0</v>
      </c>
      <c r="E13" s="269" t="n">
        <v>0</v>
      </c>
      <c r="F13" s="269" t="n">
        <v>0</v>
      </c>
      <c r="G13" s="269" t="n">
        <v>0</v>
      </c>
      <c r="H13" s="269" t="n">
        <v>0</v>
      </c>
      <c r="I13" s="269" t="n">
        <v>0</v>
      </c>
      <c r="J13" s="269" t="n">
        <v>0</v>
      </c>
      <c r="K13" s="269" t="n">
        <v>0</v>
      </c>
      <c r="L13" s="269" t="n">
        <v>0</v>
      </c>
      <c r="M13" s="269" t="n">
        <v>0</v>
      </c>
      <c r="N13" s="269" t="n">
        <v>0</v>
      </c>
      <c r="O13" s="269" t="n">
        <v>0</v>
      </c>
      <c r="P13" s="269" t="n">
        <v>0</v>
      </c>
      <c r="Q13" s="269" t="n">
        <v>0</v>
      </c>
      <c r="R13" s="269" t="n">
        <v>0</v>
      </c>
      <c r="S13" s="269" t="n">
        <v>0</v>
      </c>
      <c r="T13" s="269" t="n">
        <v>0</v>
      </c>
      <c r="U13" s="269" t="n">
        <v>0</v>
      </c>
      <c r="V13" s="269" t="n">
        <v>0</v>
      </c>
      <c r="W13" s="269" t="n">
        <v>0</v>
      </c>
      <c r="X13" s="269" t="n">
        <v>0</v>
      </c>
      <c r="Y13" s="269" t="n">
        <v>0</v>
      </c>
      <c r="Z13" s="269" t="n">
        <v>0</v>
      </c>
      <c r="AA13" s="269" t="n">
        <v>0</v>
      </c>
      <c r="AB13" s="269" t="n">
        <v>0</v>
      </c>
      <c r="AC13" s="269" t="n">
        <v>0</v>
      </c>
      <c r="AD13" s="269" t="n">
        <v>0</v>
      </c>
      <c r="AE13" s="269" t="n">
        <v>0</v>
      </c>
      <c r="AF13" s="269" t="n">
        <v>0</v>
      </c>
      <c r="AG13" s="269" t="n">
        <v>0</v>
      </c>
    </row>
    <row r="14" customFormat="false" ht="12.75" hidden="false" customHeight="false" outlineLevel="0" collapsed="false">
      <c r="A14" s="268" t="s">
        <v>212</v>
      </c>
      <c r="C14" s="269" t="n">
        <v>0</v>
      </c>
      <c r="D14" s="269" t="n">
        <v>0</v>
      </c>
      <c r="E14" s="269" t="n">
        <v>0</v>
      </c>
      <c r="F14" s="269" t="n">
        <v>0</v>
      </c>
      <c r="G14" s="269" t="n">
        <v>0</v>
      </c>
      <c r="H14" s="269" t="n">
        <v>0</v>
      </c>
      <c r="I14" s="269" t="n">
        <v>0</v>
      </c>
      <c r="J14" s="269" t="n">
        <v>0</v>
      </c>
      <c r="K14" s="269" t="n">
        <v>0</v>
      </c>
      <c r="L14" s="269" t="n">
        <v>0</v>
      </c>
      <c r="M14" s="269" t="n">
        <v>0</v>
      </c>
      <c r="N14" s="269" t="n">
        <v>0</v>
      </c>
      <c r="O14" s="269" t="n">
        <v>0</v>
      </c>
      <c r="P14" s="269" t="n">
        <v>0</v>
      </c>
      <c r="Q14" s="269" t="n">
        <v>0</v>
      </c>
      <c r="R14" s="269" t="n">
        <v>0</v>
      </c>
      <c r="S14" s="269" t="n">
        <v>0</v>
      </c>
      <c r="T14" s="269" t="n">
        <v>0</v>
      </c>
      <c r="U14" s="269" t="n">
        <v>0</v>
      </c>
      <c r="V14" s="269" t="n">
        <v>0</v>
      </c>
      <c r="W14" s="269" t="n">
        <v>0</v>
      </c>
      <c r="X14" s="269" t="n">
        <v>0</v>
      </c>
      <c r="Y14" s="269" t="n">
        <v>0</v>
      </c>
      <c r="Z14" s="269" t="n">
        <v>0</v>
      </c>
      <c r="AA14" s="269" t="n">
        <v>0</v>
      </c>
      <c r="AB14" s="269" t="n">
        <v>0</v>
      </c>
      <c r="AC14" s="269" t="n">
        <v>0</v>
      </c>
      <c r="AD14" s="269" t="n">
        <v>0</v>
      </c>
      <c r="AE14" s="269" t="n">
        <v>0</v>
      </c>
      <c r="AF14" s="269" t="n">
        <v>0</v>
      </c>
      <c r="AG14" s="269" t="n">
        <v>0</v>
      </c>
    </row>
    <row r="15" customFormat="false" ht="12.75" hidden="false" customHeight="false" outlineLevel="0" collapsed="false">
      <c r="A15" s="27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  <c r="O15" s="260"/>
      <c r="P15" s="260"/>
      <c r="Q15" s="260"/>
      <c r="R15" s="260"/>
      <c r="S15" s="260"/>
      <c r="T15" s="260"/>
      <c r="U15" s="260"/>
      <c r="V15" s="260"/>
      <c r="W15" s="260"/>
      <c r="X15" s="260"/>
      <c r="Y15" s="260"/>
      <c r="Z15" s="260"/>
      <c r="AA15" s="260"/>
      <c r="AB15" s="260"/>
      <c r="AC15" s="260"/>
      <c r="AD15" s="260"/>
      <c r="AE15" s="260"/>
      <c r="AF15" s="260"/>
      <c r="AG15" s="260"/>
    </row>
    <row r="16" customFormat="false" ht="12.75" hidden="false" customHeight="false" outlineLevel="0" collapsed="false">
      <c r="A16" s="267" t="s">
        <v>213</v>
      </c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</row>
    <row r="17" customFormat="false" ht="12.75" hidden="false" customHeight="false" outlineLevel="0" collapsed="false">
      <c r="A17" s="268" t="s">
        <v>209</v>
      </c>
      <c r="C17" s="269" t="n">
        <f aca="false">IF(AND(C6&gt;Assumptions!$I$52,B6&gt;Assumptions!$I$52),12*'Power Price Assumption'!D25*Assumptions!$I$57,IF(AND(B6&lt;Assumptions!$I$52,IS!C6&gt;Assumptions!$I$52),IS!C6*'Power Price Assumption'!D25*12*Assumptions!$I$65,0))</f>
        <v>0</v>
      </c>
      <c r="D17" s="269" t="n">
        <f aca="false">IF(AND(D6&gt;Assumptions!$I$52,IS!C6&gt;Assumptions!$I$52),12*'Power Price Assumption'!E25*Assumptions!$I$57,IF(AND(IS!C6&lt;Assumptions!$I$52,IS!D6&gt;Assumptions!$I$52),IS!D6*'Power Price Assumption'!E25*12*Assumptions!$I$65,0))</f>
        <v>0</v>
      </c>
      <c r="E17" s="269" t="n">
        <f aca="false">IF(AND(E6&gt;Assumptions!$I$52,IS!D6&gt;Assumptions!$I$52),12*'Power Price Assumption'!F25*(Assumptions!$I$57/2),IF(AND(IS!D6&lt;Assumptions!$I$52,IS!E6&gt;Assumptions!$I$52),IS!E6*'Power Price Assumption'!F25*12*(Assumptions!$I$65/2),0))</f>
        <v>0</v>
      </c>
      <c r="F17" s="269" t="n">
        <f aca="false">IF(AND(F6&gt;Assumptions!$I$52,IS!E6&gt;Assumptions!$I$52),12*'Power Price Assumption'!G25*Assumptions!$I$57,IF(AND(IS!E6&lt;Assumptions!$I$52,IS!F6&gt;Assumptions!$I$52),IS!C6*'Power Price Assumption'!G25*12*Assumptions!$I$65,0))</f>
        <v>8701.92388825947</v>
      </c>
      <c r="G17" s="269" t="n">
        <f aca="false">IF(AND(G6&gt;Assumptions!$I$52,IS!F6&gt;Assumptions!$I$52),12*'Power Price Assumption'!H25*Assumptions!$I$65,IF(AND(IS!F6&lt;Assumptions!$I$52,IS!G6&gt;Assumptions!$I$52),IS!$C$6*'Power Price Assumption'!H25*12*Assumptions!$I$65,0))</f>
        <v>13003.670033349</v>
      </c>
      <c r="H17" s="269" t="n">
        <f aca="false">IF(AND(H6&gt;Assumptions!$I$52,IS!G6&gt;Assumptions!$I$52),12*'Power Price Assumption'!I25*Assumptions!$I$65,IF(AND(IS!G6&lt;Assumptions!$I$52,IS!H6&gt;Assumptions!$I$52),IS!$C$6*'Power Price Assumption'!I25*12*Assumptions!$I$65,0))</f>
        <v>13166.7669117334</v>
      </c>
      <c r="I17" s="269" t="n">
        <f aca="false">IF(AND(I6&gt;Assumptions!$I$52,IS!H6&gt;Assumptions!$I$52),12*'Power Price Assumption'!J25*Assumptions!$I$65,IF(AND(IS!H6&lt;Assumptions!$I$52,IS!I6&gt;Assumptions!$I$52),IS!$C$6*'Power Price Assumption'!J25*12*Assumptions!$I$65,0))</f>
        <v>13327.9462997908</v>
      </c>
      <c r="J17" s="269" t="n">
        <f aca="false">IF(AND(J6&gt;Assumptions!$I$52,IS!I6&gt;Assumptions!$I$52),12*'Power Price Assumption'!K25*Assumptions!$I$65,IF(AND(IS!I6&lt;Assumptions!$I$52,IS!J6&gt;Assumptions!$I$52),IS!$C$6*'Power Price Assumption'!K25*12*Assumptions!$I$65,0))</f>
        <v>13486.9463609112</v>
      </c>
      <c r="K17" s="269" t="n">
        <f aca="false">IF(AND(K6&gt;Assumptions!$I$52,IS!J6&gt;Assumptions!$I$52),12*'Power Price Assumption'!L25*Assumptions!$I$65,IF(AND(IS!J6&lt;Assumptions!$I$52,IS!K6&gt;Assumptions!$I$52),IS!$C$6*'Power Price Assumption'!L25*12*Assumptions!$I$65,0))</f>
        <v>13891.5547517385</v>
      </c>
      <c r="L17" s="269" t="n">
        <f aca="false">IF(AND(L6&gt;Assumptions!$I$52,IS!K6&gt;Assumptions!$I$52),12*'Power Price Assumption'!M25*Assumptions!$I$65,IF(AND(IS!K6&lt;Assumptions!$I$52,IS!L6&gt;Assumptions!$I$52),IS!$C$6*'Power Price Assumption'!M25*12*Assumptions!$I$65,0))</f>
        <v>14052.7960122497</v>
      </c>
      <c r="M17" s="269" t="n">
        <f aca="false">IF(AND(M6&gt;Assumptions!$I$52,IS!L6&gt;Assumptions!$I$52),12*'Power Price Assumption'!N25*Assumptions!$I$65,IF(AND(IS!L6&lt;Assumptions!$I$52,IS!M6&gt;Assumptions!$I$52),IS!$C$6*'Power Price Assumption'!N25*12*Assumptions!$I$65,0))</f>
        <v>14474.3798926172</v>
      </c>
      <c r="N17" s="269" t="n">
        <f aca="false">IF(AND(N6&gt;Assumptions!$I$52,IS!M6&gt;Assumptions!$I$52),12*'Power Price Assumption'!O25*Assumptions!$I$65,IF(AND(IS!M6&lt;Assumptions!$I$52,IS!N6&gt;Assumptions!$I$52),IS!$C$6*'Power Price Assumption'!O25*12*Assumptions!$I$65,0))</f>
        <v>14637.5456295886</v>
      </c>
      <c r="O17" s="269" t="n">
        <f aca="false">IF(AND(O6&gt;Assumptions!$I$52,IS!N6&gt;Assumptions!$I$52),12*'Power Price Assumption'!P25*Assumptions!$I$65,IF(AND(IS!N6&lt;Assumptions!$I$52,IS!O6&gt;Assumptions!$I$52),IS!$C$6*'Power Price Assumption'!P25*12*Assumptions!$I$65,0))</f>
        <v>15076.6719984762</v>
      </c>
      <c r="P17" s="269" t="n">
        <f aca="false">IF(AND(P6&gt;Assumptions!$I$52,IS!O6&gt;Assumptions!$I$52),12*'Power Price Assumption'!Q25*Assumptions!$I$65,IF(AND(IS!O6&lt;Assumptions!$I$52,IS!P6&gt;Assumptions!$I$52),IS!$C$6*'Power Price Assumption'!Q25*12*Assumptions!$I$65,0))</f>
        <v>15241.398599941</v>
      </c>
      <c r="Q17" s="269" t="n">
        <f aca="false">IF(AND(Q6&gt;Assumptions!$I$52,IS!P6&gt;Assumptions!$I$52),12*'Power Price Assumption'!R25*Assumptions!$I$65,IF(AND(IS!P6&lt;Assumptions!$I$52,IS!Q6&gt;Assumptions!$I$52),IS!$C$6*'Power Price Assumption'!R25*12*Assumptions!$I$65,0))</f>
        <v>15402.4397926951</v>
      </c>
      <c r="R17" s="269" t="n">
        <f aca="false">IF(AND(R6&gt;Assumptions!$I$52,IS!Q6&gt;Assumptions!$I$52),12*'Power Price Assumption'!S25*Assumptions!$I$65,IF(AND(IS!Q6&lt;Assumptions!$I$52,IS!R6&gt;Assumptions!$I$52),IS!$C$6*'Power Price Assumption'!S25*12*Assumptions!$I$65,0))</f>
        <v>15559.4261982745</v>
      </c>
      <c r="S17" s="269" t="n">
        <f aca="false">IF(AND(S6&gt;Assumptions!$I$52,IS!R6&gt;Assumptions!$I$52),12*'Power Price Assumption'!T25*Assumptions!$I$65,IF(AND(IS!R6&lt;Assumptions!$I$52,IS!S6&gt;Assumptions!$I$52),IS!$C$6*'Power Price Assumption'!T25*12*Assumptions!$I$65,0))</f>
        <v>15711.9695923753</v>
      </c>
      <c r="T17" s="269" t="n">
        <f aca="false">IF(AND(T6&gt;Assumptions!$I$52,IS!S6&gt;Assumptions!$I$52),12*'Power Price Assumption'!U25*Assumptions!$I$65,IF(AND(IS!S6&lt;Assumptions!$I$52,IS!T6&gt;Assumptions!$I$52),IS!$C$6*'Power Price Assumption'!U25*12*Assumptions!$I$65,0))</f>
        <v>15859.6621065436</v>
      </c>
      <c r="U17" s="269" t="n">
        <f aca="false">IF(AND(U6&gt;Assumptions!$I$52,IS!T6&gt;Assumptions!$I$52),12*'Power Price Assumption'!V25*Assumptions!$I$65,IF(AND(IS!T6&lt;Assumptions!$I$52,IS!U6&gt;Assumptions!$I$52),IS!$C$6*'Power Price Assumption'!V25*12*Assumptions!$I$65,0))</f>
        <v>16002.0753989289</v>
      </c>
      <c r="V17" s="269" t="n">
        <f aca="false">IF(AND(V6&gt;Assumptions!$I$52,IS!U6&gt;Assumptions!$I$52),12*'Power Price Assumption'!W25*Assumptions!$I$65,IF(AND(IS!U6&lt;Assumptions!$I$52,IS!V6&gt;Assumptions!$I$52),IS!$C$6*'Power Price Assumption'!W25*12*Assumptions!$I$65,0))</f>
        <v>16138.7597929614</v>
      </c>
      <c r="W17" s="269" t="n">
        <f aca="false">IF(AND(W6&gt;Assumptions!$I$52,IS!V6&gt;Assumptions!$I$52),12*'Power Price Assumption'!X25*Assumptions!$I$65,IF(AND(IS!V6&lt;Assumptions!$I$52,IS!W6&gt;Assumptions!$I$52),IS!$C$6*'Power Price Assumption'!X25*12*Assumptions!$I$65,0))</f>
        <v>16269.2433827768</v>
      </c>
      <c r="X17" s="269" t="n">
        <f aca="false">IF(AND(X6&gt;Assumptions!$I$52,IS!W6&gt;Assumptions!$I$52),12*'Power Price Assumption'!Y25*Assumptions!$I$65,IF(AND(IS!W6&lt;Assumptions!$I$52,IS!X6&gt;Assumptions!$I$52),IS!$C$6*'Power Price Assumption'!Y25*12*Assumptions!$I$65,0))</f>
        <v>16393.0311041675</v>
      </c>
      <c r="Y17" s="269" t="n">
        <f aca="false">IF(AND(Y6&gt;Assumptions!$I$52,IS!X6&gt;Assumptions!$I$52),12*'Power Price Assumption'!Z25*Assumptions!$I$65,IF(AND(IS!X6&lt;Assumptions!$I$52,IS!Y6&gt;Assumptions!$I$52),IS!$C$6*'Power Price Assumption'!Z25*12*Assumptions!$I$65,0))</f>
        <v>16516.8188255582</v>
      </c>
      <c r="Z17" s="269" t="n">
        <f aca="false">IF(AND(Z6&gt;Assumptions!$I$52,IS!Y6&gt;Assumptions!$I$52),12*'Power Price Assumption'!AA25*Assumptions!$I$65,IF(AND(IS!Y6&lt;Assumptions!$I$52,IS!Z6&gt;Assumptions!$I$52),IS!$C$6*'Power Price Assumption'!AA25*12*Assumptions!$I$65,0))</f>
        <v>16640.6065469489</v>
      </c>
      <c r="AA17" s="269" t="n">
        <f aca="false">IF(AND(AA6&gt;Assumptions!$I$52,IS!Z6&gt;Assumptions!$I$52),12*'Power Price Assumption'!AB25*Assumptions!$I$65,IF(AND(IS!Z6&lt;Assumptions!$I$52,IS!AA6&gt;Assumptions!$I$52),IS!$C$6*'Power Price Assumption'!AB25*12*Assumptions!$I$65,0))</f>
        <v>16764.3942683396</v>
      </c>
      <c r="AB17" s="269" t="n">
        <f aca="false">IF(AND(AB6&gt;Assumptions!$I$52,IS!AA6&gt;Assumptions!$I$52),12*'Power Price Assumption'!AC25*Assumptions!$I$65,IF(AND(IS!AA6&lt;Assumptions!$I$52,IS!AB6&gt;Assumptions!$I$52),IS!$C$6*'Power Price Assumption'!AC25*12*Assumptions!$I$65,0))</f>
        <v>16888.1819897303</v>
      </c>
      <c r="AC17" s="269" t="n">
        <f aca="false">IF(AND(AC6&gt;Assumptions!$I$52,IS!AB6&gt;Assumptions!$I$52),12*'Power Price Assumption'!AD25*Assumptions!$I$65,IF(AND(IS!AB6&lt;Assumptions!$I$52,IS!AC6&gt;Assumptions!$I$52),IS!$C$6*'Power Price Assumption'!AD25*12*Assumptions!$I$65,0))</f>
        <v>17011.969711121</v>
      </c>
      <c r="AD17" s="269" t="n">
        <f aca="false">IF(AND(AD6&gt;Assumptions!$I$52,IS!AC6&gt;Assumptions!$I$52),12*'Power Price Assumption'!AE25*Assumptions!$I$65,IF(AND(IS!AC6&lt;Assumptions!$I$52,IS!AD6&gt;Assumptions!$I$52),IS!$C$6*'Power Price Assumption'!AE25*12*Assumptions!$I$65,0))</f>
        <v>17135.7574325117</v>
      </c>
      <c r="AE17" s="269" t="n">
        <f aca="false">IF(AND(AE6&gt;Assumptions!$I$52,IS!AD6&gt;Assumptions!$I$52),12*'Power Price Assumption'!AF25*Assumptions!$I$65,IF(AND(IS!AD6&lt;Assumptions!$I$52,IS!AE6&gt;Assumptions!$I$52),IS!$C$6*'Power Price Assumption'!AF25*12*Assumptions!$I$65,0))</f>
        <v>17259.5451539024</v>
      </c>
      <c r="AF17" s="269" t="n">
        <f aca="false">IF(AND(AF6&gt;Assumptions!$I$52,IS!AE6&gt;Assumptions!$I$52),12*'Power Price Assumption'!AG25*Assumptions!$I$65,IF(AND(IS!AE6&lt;Assumptions!$I$52,IS!AF6&gt;Assumptions!$I$52),IS!$C$6*'Power Price Assumption'!AG25*12*Assumptions!$I$65,0))</f>
        <v>17383.3328752931</v>
      </c>
      <c r="AG17" s="269" t="n">
        <f aca="false">IF(AND(AG6&gt;Assumptions!$I$52,IS!AF6&gt;Assumptions!$I$52),12*'Power Price Assumption'!AH25*Assumptions!$I$65,IF(AND(IS!AF6&lt;Assumptions!$I$52,IS!AG6&gt;Assumptions!$I$52),IS!$C$6*'Power Price Assumption'!AH25*12*Assumptions!$I$65,0))</f>
        <v>17507.1205966838</v>
      </c>
    </row>
    <row r="18" customFormat="false" ht="12.75" hidden="false" customHeight="false" outlineLevel="0" collapsed="false">
      <c r="A18" s="268" t="s">
        <v>210</v>
      </c>
      <c r="B18" s="271"/>
      <c r="C18" s="269" t="n">
        <f aca="false">IF(AND(C6&gt;Assumptions!$I$52,B6&gt;Assumptions!$I$52),Assumptions!$P$28*Assumptions!$I$66/1000,IF(AND(B6&lt;Assumptions!$I$52,IS!C6&gt;Assumptions!$I$52),Assumptions!$P$28*Assumptions!$I$66/1000*IS!$C$6,0))</f>
        <v>0</v>
      </c>
      <c r="D18" s="269" t="n">
        <f aca="false">IF(AND(D6&gt;Assumptions!$I$52,IS!C6&gt;Assumptions!$I$52),Assumptions!$P$28*Assumptions!$I$66/1000*(1+Assumptions!$O$21)^(IS!D6-IS!$C$6),IF(AND(IS!C6&lt;Assumptions!$I$52,IS!D6&gt;Assumptions!$I$52),C12*(1+Assumptions!$O$21)-D12,0))</f>
        <v>0</v>
      </c>
      <c r="E18" s="269" t="n">
        <f aca="false">IF(AND(E6&gt;Assumptions!$I$52,IS!D6&gt;Assumptions!$I$52),Assumptions!$P$28*Assumptions!$I$66/1000*(1+Assumptions!$O$21)^(IS!E6-IS!$C$6),IF(AND(IS!D6&lt;Assumptions!$I$52,IS!E6&gt;Assumptions!$I$52),D12*(1+Assumptions!$O$21)-E12,0))</f>
        <v>0</v>
      </c>
      <c r="F18" s="269" t="n">
        <f aca="false">IF(AND(F6&gt;Assumptions!$I$52,IS!E6&gt;Assumptions!$I$52),Assumptions!$P$28*Assumptions!$I$66/1000*(1+Assumptions!$O$21)^(IS!F6-IS!$C$6),IF(AND(IS!E6&lt;Assumptions!$I$52,IS!F6&gt;Assumptions!$I$52),E12*(1+Assumptions!$O$21)-F12,0))</f>
        <v>0.68964186424</v>
      </c>
      <c r="G18" s="269" t="n">
        <f aca="false">IF(AND(G6&gt;Assumptions!$I$52,IS!F6&gt;Assumptions!$I$52),Assumptions!$P$28*Assumptions!$I$66/1000*(1+Assumptions!$O$21)^(IS!G6-IS!$C$6),IF(AND(IS!F6&lt;Assumptions!$I$52,IS!G6&gt;Assumptions!$I$52),Assumptions!$P$28*Assumptions!$I$66/1000*(1+Assumptions!$O$21)^(IS!G6-IS!$C$6)*(1-$C$6),0))</f>
        <v>2.1309933605016</v>
      </c>
      <c r="H18" s="269" t="n">
        <f aca="false">IF(AND(H6&gt;Assumptions!$I$52,IS!G6&gt;Assumptions!$I$52),Assumptions!$P$28*Assumptions!$I$66/1000*(1+Assumptions!$O$21)^(IS!H6-IS!$C$6),IF(AND(IS!G6&lt;Assumptions!$I$52,IS!H6&gt;Assumptions!$I$52),G12*(1+Assumptions!$O$21)-H12,0))</f>
        <v>2.19492316131665</v>
      </c>
      <c r="I18" s="269" t="n">
        <f aca="false">IF(AND(I6&gt;Assumptions!$I$52,IS!H6&gt;Assumptions!$I$52),Assumptions!$P$28*Assumptions!$I$66/1000*(1+Assumptions!$O$21)^(IS!I6-IS!$C$6),IF(AND(IS!H6&lt;Assumptions!$I$52,IS!I6&gt;Assumptions!$I$52),H12*(1+Assumptions!$O$21)-I12,0))</f>
        <v>2.26077085615615</v>
      </c>
      <c r="J18" s="269" t="n">
        <f aca="false">IF(AND(J6&gt;Assumptions!$I$52,IS!I6&gt;Assumptions!$I$52),Assumptions!$P$28*Assumptions!$I$66/1000*(1+Assumptions!$O$21)^(IS!J6-IS!$C$6),IF(AND(IS!I6&lt;Assumptions!$I$52,IS!J6&gt;Assumptions!$I$52),I12*(1+Assumptions!$O$21)-J12,0))</f>
        <v>2.32859398184083</v>
      </c>
      <c r="K18" s="269" t="n">
        <f aca="false">IF(AND(K6&gt;Assumptions!$I$52,IS!J6&gt;Assumptions!$I$52),Assumptions!$P$28*Assumptions!$I$66/1000*(1+Assumptions!$O$21)^(IS!K6-IS!$C$6),IF(AND(IS!J6&lt;Assumptions!$I$52,IS!K6&gt;Assumptions!$I$52),J12*(1+Assumptions!$O$21)-K12,0))</f>
        <v>2.39845180129606</v>
      </c>
      <c r="L18" s="269" t="n">
        <f aca="false">IF(AND(L6&gt;Assumptions!$I$52,IS!K6&gt;Assumptions!$I$52),Assumptions!$P$28*Assumptions!$I$66/1000*(1+Assumptions!$O$21)^(IS!L6-IS!$C$6),IF(AND(IS!K6&lt;Assumptions!$I$52,IS!L6&gt;Assumptions!$I$52),K12*(1+Assumptions!$O$21)-L12,0))</f>
        <v>2.47040535533494</v>
      </c>
      <c r="M18" s="269" t="n">
        <f aca="false">IF(AND(M6&gt;Assumptions!$I$52,IS!L6&gt;Assumptions!$I$52),Assumptions!$P$28*Assumptions!$I$66/1000*(1+Assumptions!$O$21)^(IS!M6-IS!$C$6),IF(AND(IS!L6&lt;Assumptions!$I$52,IS!M6&gt;Assumptions!$I$52),L12*(1+Assumptions!$O$21)-M12,0))</f>
        <v>2.54451751599499</v>
      </c>
      <c r="N18" s="269" t="n">
        <f aca="false">IF(AND(N6&gt;Assumptions!$I$52,IS!M6&gt;Assumptions!$I$52),Assumptions!$P$28*Assumptions!$I$66/1000*(1+Assumptions!$O$21)^(IS!N6-IS!$C$6),IF(AND(IS!M6&lt;Assumptions!$I$52,IS!N6&gt;Assumptions!$I$52),M12*(1+Assumptions!$O$21)-N12,0))</f>
        <v>2.62085304147484</v>
      </c>
      <c r="O18" s="269" t="n">
        <f aca="false">IF(AND(O6&gt;Assumptions!$I$52,IS!N6&gt;Assumptions!$I$52),Assumptions!$P$28*Assumptions!$I$66/1000*(1+Assumptions!$O$21)^(IS!O6-IS!$C$6),IF(AND(IS!N6&lt;Assumptions!$I$52,IS!O6&gt;Assumptions!$I$52),N12*(1+Assumptions!$O$21)-O12,0))</f>
        <v>2.69947863271908</v>
      </c>
      <c r="P18" s="269" t="n">
        <f aca="false">IF(AND(P6&gt;Assumptions!$I$52,IS!O6&gt;Assumptions!$I$52),Assumptions!$P$28*Assumptions!$I$66/1000*(1+Assumptions!$O$21)^(IS!P6-IS!$C$6),IF(AND(IS!O6&lt;Assumptions!$I$52,IS!P6&gt;Assumptions!$I$52),O12*(1+Assumptions!$O$21)-P12,0))</f>
        <v>2.78046299170066</v>
      </c>
      <c r="Q18" s="269" t="n">
        <f aca="false">IF(AND(Q6&gt;Assumptions!$I$52,IS!P6&gt;Assumptions!$I$52),Assumptions!$P$28*Assumptions!$I$66/1000*(1+Assumptions!$O$21)^(IS!Q6-IS!$C$6),IF(AND(IS!P6&lt;Assumptions!$I$52,IS!Q6&gt;Assumptions!$I$52),P12*(1+Assumptions!$O$21)-Q12,0))</f>
        <v>2.86387688145168</v>
      </c>
      <c r="R18" s="269" t="n">
        <f aca="false">IF(AND(R6&gt;Assumptions!$I$52,IS!Q6&gt;Assumptions!$I$52),Assumptions!$P$28*Assumptions!$I$66/1000*(1+Assumptions!$O$21)^(IS!R6-IS!$C$6),IF(AND(IS!Q6&lt;Assumptions!$I$52,IS!R6&gt;Assumptions!$I$52),Q12*(1+Assumptions!$O$21)-R12,0))</f>
        <v>2.94979318789523</v>
      </c>
      <c r="S18" s="269" t="n">
        <f aca="false">IF(AND(S6&gt;Assumptions!$I$52,IS!R6&gt;Assumptions!$I$52),Assumptions!$P$28*Assumptions!$I$66/1000*(1+Assumptions!$O$21)^(IS!S6-IS!$C$6),IF(AND(IS!R6&lt;Assumptions!$I$52,IS!S6&gt;Assumptions!$I$52),R12*(1+Assumptions!$O$21)-S12,0))</f>
        <v>3.03828698353208</v>
      </c>
      <c r="T18" s="269" t="n">
        <f aca="false">IF(AND(T6&gt;Assumptions!$I$52,IS!S6&gt;Assumptions!$I$52),Assumptions!$P$28*Assumptions!$I$66/1000*(1+Assumptions!$O$21)^(IS!T6-IS!$C$6),IF(AND(IS!S6&lt;Assumptions!$I$52,IS!T6&gt;Assumptions!$I$52),S12*(1+Assumptions!$O$21)-T12,0))</f>
        <v>3.12943559303804</v>
      </c>
      <c r="U18" s="269" t="n">
        <f aca="false">IF(AND(U6&gt;Assumptions!$I$52,IS!T6&gt;Assumptions!$I$52),Assumptions!$P$28*Assumptions!$I$66/1000*(1+Assumptions!$O$21)^(IS!U6-IS!$C$6),IF(AND(IS!T6&lt;Assumptions!$I$52,IS!U6&gt;Assumptions!$I$52),T12*(1+Assumptions!$O$21)-U12,0))</f>
        <v>3.22331866082919</v>
      </c>
      <c r="V18" s="269" t="n">
        <f aca="false">IF(AND(V6&gt;Assumptions!$I$52,IS!U6&gt;Assumptions!$I$52),Assumptions!$P$28*Assumptions!$I$66/1000*(1+Assumptions!$O$21)^(IS!V6-IS!$C$6),IF(AND(IS!U6&lt;Assumptions!$I$52,IS!V6&gt;Assumptions!$I$52),U12*(1+Assumptions!$O$21)-V12,0))</f>
        <v>3.32001822065406</v>
      </c>
      <c r="W18" s="269" t="n">
        <f aca="false">IF(AND(W6&gt;Assumptions!$I$52,IS!V6&gt;Assumptions!$I$52),Assumptions!$P$28*Assumptions!$I$66/1000*(1+Assumptions!$O$21)^(IS!W6-IS!$C$6),IF(AND(IS!V6&lt;Assumptions!$I$52,IS!W6&gt;Assumptions!$I$52),V12*(1+Assumptions!$O$21)-W12,0))</f>
        <v>3.41961876727368</v>
      </c>
      <c r="X18" s="269" t="n">
        <f aca="false">IF(AND(X6&gt;Assumptions!$I$52,IS!W6&gt;Assumptions!$I$52),Assumptions!$P$28*Assumptions!$I$66/1000*(1+Assumptions!$O$21)^(IS!X6-IS!$C$6),IF(AND(IS!W6&lt;Assumptions!$I$52,IS!X6&gt;Assumptions!$I$52),W12*(1+Assumptions!$O$21)-X12,0))</f>
        <v>3.52220733029189</v>
      </c>
      <c r="Y18" s="269" t="n">
        <f aca="false">IF(AND(Y6&gt;Assumptions!$I$52,IS!X6&gt;Assumptions!$I$52),Assumptions!$P$28*Assumptions!$I$66/1000*(1+Assumptions!$O$21)^(IS!Y6-IS!$C$6),IF(AND(IS!X6&lt;Assumptions!$I$52,IS!Y6&gt;Assumptions!$I$52),X12*(1+Assumptions!$O$21)-Y12,0))</f>
        <v>3.62787355020065</v>
      </c>
      <c r="Z18" s="269" t="n">
        <f aca="false">IF(AND(Z6&gt;Assumptions!$I$52,IS!Y6&gt;Assumptions!$I$52),Assumptions!$P$28*Assumptions!$I$66/1000*(1+Assumptions!$O$21)^(IS!Z6-IS!$C$6),IF(AND(IS!Y6&lt;Assumptions!$I$52,IS!Z6&gt;Assumptions!$I$52),Y12*(1+Assumptions!$O$21)-Z12,0))</f>
        <v>3.73670975670667</v>
      </c>
      <c r="AA18" s="269" t="n">
        <f aca="false">IF(AND(AA6&gt;Assumptions!$I$52,IS!Z6&gt;Assumptions!$I$52),Assumptions!$P$28*Assumptions!$I$66/1000*(1+Assumptions!$O$21)^(IS!AA6-IS!$C$6),IF(AND(IS!Z6&lt;Assumptions!$I$52,IS!AA6&gt;Assumptions!$I$52),Z12*(1+Assumptions!$O$21)-AA12,0))</f>
        <v>3.84881104940787</v>
      </c>
      <c r="AB18" s="269" t="n">
        <f aca="false">IF(AND(AB6&gt;Assumptions!$I$52,IS!AA6&gt;Assumptions!$I$52),Assumptions!$P$28*Assumptions!$I$66/1000*(1+Assumptions!$O$21)^(IS!AB6-IS!$C$6),IF(AND(IS!AA6&lt;Assumptions!$I$52,IS!AB6&gt;Assumptions!$I$52),AA12*(1+Assumptions!$O$21)-AB12,0))</f>
        <v>3.96427538089011</v>
      </c>
      <c r="AC18" s="269" t="n">
        <f aca="false">IF(AND(AC6&gt;Assumptions!$I$52,IS!AB6&gt;Assumptions!$I$52),Assumptions!$P$28*Assumptions!$I$66/1000*(1+Assumptions!$O$21)^(IS!AC6-IS!$C$6),IF(AND(IS!AB6&lt;Assumptions!$I$52,IS!AC6&gt;Assumptions!$I$52),AB12*(1+Assumptions!$O$21)-AC12,0))</f>
        <v>4.08320364231681</v>
      </c>
      <c r="AD18" s="269" t="n">
        <f aca="false">IF(AND(AD6&gt;Assumptions!$I$52,IS!AC6&gt;Assumptions!$I$52),Assumptions!$P$28*Assumptions!$I$66/1000*(1+Assumptions!$O$21)^(IS!AD6-IS!$C$6),IF(AND(IS!AC6&lt;Assumptions!$I$52,IS!AD6&gt;Assumptions!$I$52),AC12*(1+Assumptions!$O$21)-AD12,0))</f>
        <v>4.20569975158631</v>
      </c>
      <c r="AE18" s="269" t="n">
        <f aca="false">IF(AND(AE6&gt;Assumptions!$I$52,IS!AD6&gt;Assumptions!$I$52),Assumptions!$P$28*Assumptions!$I$66/1000*(1+Assumptions!$O$21)^(IS!AE6-IS!$C$6),IF(AND(IS!AD6&lt;Assumptions!$I$52,IS!AE6&gt;Assumptions!$I$52),AD12*(1+Assumptions!$O$21)-AE12,0))</f>
        <v>4.3318707441339</v>
      </c>
      <c r="AF18" s="269" t="n">
        <f aca="false">IF(AND(AF6&gt;Assumptions!$I$52,IS!AE6&gt;Assumptions!$I$52),Assumptions!$P$28*Assumptions!$I$66/1000*(1+Assumptions!$O$21)^(IS!AF6-IS!$C$6),IF(AND(IS!AE6&lt;Assumptions!$I$52,IS!AF6&gt;Assumptions!$I$52),AE12*(1+Assumptions!$O$21)-AF12,0))</f>
        <v>4.46182686645792</v>
      </c>
      <c r="AG18" s="269" t="n">
        <f aca="false">IF(AND(AG6&gt;Assumptions!$I$52,IS!AF6&gt;Assumptions!$I$52),Assumptions!$P$28*Assumptions!$I$66/1000*(1+Assumptions!$O$21)^(IS!AG6-IS!$C$6),IF(AND(IS!AF6&lt;Assumptions!$I$52,IS!AG6&gt;Assumptions!$I$52),AF12*(1+Assumptions!$O$21)-AG12,0))</f>
        <v>4.59568167245166</v>
      </c>
    </row>
    <row r="19" customFormat="false" ht="12.75" hidden="false" customHeight="false" outlineLevel="0" collapsed="false">
      <c r="A19" s="268" t="s">
        <v>211</v>
      </c>
      <c r="C19" s="269" t="n">
        <v>0</v>
      </c>
      <c r="D19" s="269" t="n">
        <v>0</v>
      </c>
      <c r="E19" s="269" t="n">
        <v>0</v>
      </c>
      <c r="F19" s="269" t="n">
        <v>0</v>
      </c>
      <c r="G19" s="269" t="n">
        <v>0</v>
      </c>
      <c r="H19" s="269" t="n">
        <v>0</v>
      </c>
      <c r="I19" s="269" t="n">
        <v>0</v>
      </c>
      <c r="J19" s="269" t="n">
        <v>0</v>
      </c>
      <c r="K19" s="269" t="n">
        <v>0</v>
      </c>
      <c r="L19" s="269" t="n">
        <v>0</v>
      </c>
      <c r="M19" s="269" t="n">
        <v>0</v>
      </c>
      <c r="N19" s="269" t="n">
        <v>0</v>
      </c>
      <c r="O19" s="269" t="n">
        <v>0</v>
      </c>
      <c r="P19" s="269" t="n">
        <v>0</v>
      </c>
      <c r="Q19" s="269" t="n">
        <v>0</v>
      </c>
      <c r="R19" s="269" t="n">
        <v>0</v>
      </c>
      <c r="S19" s="269" t="n">
        <v>0</v>
      </c>
      <c r="T19" s="269" t="n">
        <v>0</v>
      </c>
      <c r="U19" s="269" t="n">
        <v>0</v>
      </c>
      <c r="V19" s="269" t="n">
        <v>0</v>
      </c>
      <c r="W19" s="269" t="n">
        <v>0</v>
      </c>
      <c r="X19" s="269" t="n">
        <v>0</v>
      </c>
      <c r="Y19" s="269" t="n">
        <v>0</v>
      </c>
      <c r="Z19" s="269" t="n">
        <v>0</v>
      </c>
      <c r="AA19" s="269" t="n">
        <v>0</v>
      </c>
      <c r="AB19" s="269" t="n">
        <v>0</v>
      </c>
      <c r="AC19" s="269" t="n">
        <v>0</v>
      </c>
      <c r="AD19" s="269" t="n">
        <v>0</v>
      </c>
      <c r="AE19" s="269" t="n">
        <v>0</v>
      </c>
      <c r="AF19" s="269" t="n">
        <v>0</v>
      </c>
      <c r="AG19" s="269" t="n">
        <v>0</v>
      </c>
    </row>
    <row r="20" customFormat="false" ht="12.75" hidden="false" customHeight="false" outlineLevel="0" collapsed="false">
      <c r="A20" s="268" t="s">
        <v>212</v>
      </c>
      <c r="C20" s="269" t="n">
        <v>0</v>
      </c>
      <c r="D20" s="269" t="n">
        <v>0</v>
      </c>
      <c r="E20" s="269" t="n">
        <v>0</v>
      </c>
      <c r="F20" s="269" t="n">
        <v>0</v>
      </c>
      <c r="G20" s="269" t="n">
        <v>0</v>
      </c>
      <c r="H20" s="269" t="n">
        <v>0</v>
      </c>
      <c r="I20" s="269" t="n">
        <v>0</v>
      </c>
      <c r="J20" s="269" t="n">
        <v>0</v>
      </c>
      <c r="K20" s="269" t="n">
        <v>0</v>
      </c>
      <c r="L20" s="269" t="n">
        <v>0</v>
      </c>
      <c r="M20" s="269" t="n">
        <v>0</v>
      </c>
      <c r="N20" s="269" t="n">
        <v>0</v>
      </c>
      <c r="O20" s="269" t="n">
        <v>0</v>
      </c>
      <c r="P20" s="269" t="n">
        <v>0</v>
      </c>
      <c r="Q20" s="269" t="n">
        <v>0</v>
      </c>
      <c r="R20" s="269" t="n">
        <v>0</v>
      </c>
      <c r="S20" s="269" t="n">
        <v>0</v>
      </c>
      <c r="T20" s="269" t="n">
        <v>0</v>
      </c>
      <c r="U20" s="269" t="n">
        <v>0</v>
      </c>
      <c r="V20" s="269" t="n">
        <v>0</v>
      </c>
      <c r="W20" s="269" t="n">
        <v>0</v>
      </c>
      <c r="X20" s="269" t="n">
        <v>0</v>
      </c>
      <c r="Y20" s="269" t="n">
        <v>0</v>
      </c>
      <c r="Z20" s="269" t="n">
        <v>0</v>
      </c>
      <c r="AA20" s="269" t="n">
        <v>0</v>
      </c>
      <c r="AB20" s="269" t="n">
        <v>0</v>
      </c>
      <c r="AC20" s="269" t="n">
        <v>0</v>
      </c>
      <c r="AD20" s="269" t="n">
        <v>0</v>
      </c>
      <c r="AE20" s="269" t="n">
        <v>0</v>
      </c>
      <c r="AF20" s="269" t="n">
        <v>0</v>
      </c>
      <c r="AG20" s="269" t="n">
        <v>0</v>
      </c>
    </row>
    <row r="21" customFormat="false" ht="12.75" hidden="false" customHeight="false" outlineLevel="0" collapsed="false"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  <c r="O21" s="260"/>
      <c r="P21" s="260"/>
      <c r="Q21" s="260"/>
      <c r="R21" s="260"/>
      <c r="S21" s="260"/>
      <c r="T21" s="260"/>
      <c r="U21" s="260"/>
      <c r="V21" s="260"/>
      <c r="W21" s="260"/>
      <c r="X21" s="260"/>
      <c r="Y21" s="260"/>
      <c r="Z21" s="260"/>
      <c r="AA21" s="260"/>
      <c r="AB21" s="260"/>
      <c r="AC21" s="260"/>
      <c r="AD21" s="260"/>
      <c r="AE21" s="260"/>
      <c r="AF21" s="260"/>
      <c r="AG21" s="260"/>
    </row>
    <row r="22" customFormat="false" ht="12.75" hidden="false" customHeight="false" outlineLevel="0" collapsed="false">
      <c r="A22" s="272" t="s">
        <v>214</v>
      </c>
      <c r="C22" s="269" t="n">
        <f aca="false">IF(AND(C6&gt;Assumptions!$I$52,B6&gt;Assumptions!$I$52),Assumptions!$I$68*Assumptions!$I$14*Assumptions!$I$69*Assumptions!$I$65/1000,IF(AND(C6&gt;Assumptions!$I$52,B6&lt;Assumptions!$I$52),Assumptions!$I$68*Assumptions!$I$14*Assumptions!$I$69*Assumptions!$I$65/1000*$C$6,0))</f>
        <v>0</v>
      </c>
      <c r="D22" s="269" t="n">
        <f aca="false">IF(AND(D6&gt;Assumptions!$I$52,IS!C6&gt;Assumptions!$I$52),Assumptions!$I$68*Assumptions!$I$14*Assumptions!$I$69*Assumptions!$I$65/1000,IF(AND(D6&gt;Assumptions!$I$52,IS!C6&lt;Assumptions!$I$52),Assumptions!$I$68*Assumptions!$I$14*Assumptions!$I$69*Assumptions!$I$65/1000*$C$6,0))</f>
        <v>0</v>
      </c>
      <c r="E22" s="269" t="n">
        <f aca="false">IF(AND(E6&gt;Assumptions!$I$52,IS!D6&gt;Assumptions!$I$52),Assumptions!$I$68*Assumptions!$I$14*Assumptions!$I$69*Assumptions!$I$65/1000,IF(AND(E6&gt;Assumptions!$I$52,IS!D6&lt;Assumptions!$I$52),Assumptions!$I$68*Assumptions!$I$14*Assumptions!$I$69*Assumptions!$I$65/1000*$C$6,0))</f>
        <v>0</v>
      </c>
      <c r="F22" s="269" t="n">
        <f aca="false">IF(AND(F6&gt;Assumptions!$I$52,IS!E6&gt;Assumptions!$I$52),Assumptions!$I$68*Assumptions!$I$14*Assumptions!$I$69*Assumptions!$I$65/1000,IF(AND(F6&gt;Assumptions!$I$52,IS!E6&lt;Assumptions!$I$52),Assumptions!$I$68*Assumptions!$I$14*Assumptions!$I$69*Assumptions!$I$65/1000*$C$6,0))</f>
        <v>3.04192</v>
      </c>
      <c r="G22" s="269" t="n">
        <f aca="false">IF(AND(G6&gt;Assumptions!$I$52,IS!F6&gt;Assumptions!$I$52),Assumptions!$I$68*Assumptions!$I$14*Assumptions!$I$69*Assumptions!$I$65/1000,IF(AND(G6&gt;Assumptions!$I$52,IS!F6&lt;Assumptions!$I$52),Assumptions!$I$68*Assumptions!$I$14*Assumptions!$I$69*Assumptions!$I$65/1000*$C$6,0))</f>
        <v>4.56288</v>
      </c>
      <c r="H22" s="269" t="n">
        <f aca="false">IF(AND(H6&gt;Assumptions!$I$52,IS!G6&gt;Assumptions!$I$52),Assumptions!$I$68*Assumptions!$I$14*Assumptions!$I$69*Assumptions!$I$65/1000,IF(AND(H6&gt;Assumptions!$I$52,IS!G6&lt;Assumptions!$I$52),Assumptions!$I$68*Assumptions!$I$14*Assumptions!$I$69*Assumptions!$I$65/1000*$C$6,0))</f>
        <v>4.56288</v>
      </c>
      <c r="I22" s="269" t="n">
        <f aca="false">IF(AND(I6&gt;Assumptions!$I$52,IS!H6&gt;Assumptions!$I$52),Assumptions!$I$68*Assumptions!$I$14*Assumptions!$I$69*Assumptions!$I$65/1000,IF(AND(I6&gt;Assumptions!$I$52,IS!H6&lt;Assumptions!$I$52),Assumptions!$I$68*Assumptions!$I$14*Assumptions!$I$69*Assumptions!$I$65/1000*$C$6,0))</f>
        <v>4.56288</v>
      </c>
      <c r="J22" s="269" t="n">
        <f aca="false">IF(AND(J6&gt;Assumptions!$I$52,IS!I6&gt;Assumptions!$I$52),Assumptions!$I$68*Assumptions!$I$14*Assumptions!$I$69*Assumptions!$I$65/1000,IF(AND(J6&gt;Assumptions!$I$52,IS!I6&lt;Assumptions!$I$52),Assumptions!$I$68*Assumptions!$I$14*Assumptions!$I$69*Assumptions!$I$65/1000*$C$6,0))</f>
        <v>4.56288</v>
      </c>
      <c r="K22" s="269" t="n">
        <f aca="false">IF(AND(K6&gt;Assumptions!$I$52,IS!J6&gt;Assumptions!$I$52),Assumptions!$I$68*Assumptions!$I$14*Assumptions!$I$69*Assumptions!$I$65/1000,IF(AND(K6&gt;Assumptions!$I$52,IS!J6&lt;Assumptions!$I$52),Assumptions!$I$68*Assumptions!$I$14*Assumptions!$I$69*Assumptions!$I$65/1000*$C$6,0))</f>
        <v>4.56288</v>
      </c>
      <c r="L22" s="269" t="n">
        <f aca="false">IF(AND(L6&gt;Assumptions!$I$52,IS!K6&gt;Assumptions!$I$52),Assumptions!$I$68*Assumptions!$I$14*Assumptions!$I$69*Assumptions!$I$65/1000,IF(AND(L6&gt;Assumptions!$I$52,IS!K6&lt;Assumptions!$I$52),Assumptions!$I$68*Assumptions!$I$14*Assumptions!$I$69*Assumptions!$I$65/1000*$C$6,0))</f>
        <v>4.56288</v>
      </c>
      <c r="M22" s="269" t="n">
        <f aca="false">IF(AND(M6&gt;Assumptions!$I$52,IS!L6&gt;Assumptions!$I$52),Assumptions!$I$68*Assumptions!$I$14*Assumptions!$I$69*Assumptions!$I$65/1000,IF(AND(M6&gt;Assumptions!$I$52,IS!L6&lt;Assumptions!$I$52),Assumptions!$I$68*Assumptions!$I$14*Assumptions!$I$69*Assumptions!$I$65/1000*$C$6,0))</f>
        <v>4.56288</v>
      </c>
      <c r="N22" s="269" t="n">
        <f aca="false">IF(AND(N6&gt;Assumptions!$I$52,IS!M6&gt;Assumptions!$I$52),Assumptions!$I$68*Assumptions!$I$14*Assumptions!$I$69*Assumptions!$I$65/1000,IF(AND(N6&gt;Assumptions!$I$52,IS!M6&lt;Assumptions!$I$52),Assumptions!$I$68*Assumptions!$I$14*Assumptions!$I$69*Assumptions!$I$65/1000*$C$6,0))</f>
        <v>4.56288</v>
      </c>
      <c r="O22" s="269" t="n">
        <f aca="false">IF(AND(O6&gt;Assumptions!$I$52,IS!N6&gt;Assumptions!$I$52),Assumptions!$I$68*Assumptions!$I$14*Assumptions!$I$69*Assumptions!$I$65/1000,IF(AND(O6&gt;Assumptions!$I$52,IS!N6&lt;Assumptions!$I$52),Assumptions!$I$68*Assumptions!$I$14*Assumptions!$I$69*Assumptions!$I$65/1000*$C$6,0))</f>
        <v>4.56288</v>
      </c>
      <c r="P22" s="269" t="n">
        <f aca="false">IF(AND(P6&gt;Assumptions!$I$52,IS!O6&gt;Assumptions!$I$52),Assumptions!$I$68*Assumptions!$I$14*Assumptions!$I$69*Assumptions!$I$65/1000,IF(AND(P6&gt;Assumptions!$I$52,IS!O6&lt;Assumptions!$I$52),Assumptions!$I$68*Assumptions!$I$14*Assumptions!$I$69*Assumptions!$I$65/1000*$C$6,0))</f>
        <v>4.56288</v>
      </c>
      <c r="Q22" s="269" t="n">
        <f aca="false">IF(AND(Q6&gt;Assumptions!$I$52,IS!P6&gt;Assumptions!$I$52),Assumptions!$I$68*Assumptions!$I$14*Assumptions!$I$69*Assumptions!$I$65/1000,IF(AND(Q6&gt;Assumptions!$I$52,IS!P6&lt;Assumptions!$I$52),Assumptions!$I$68*Assumptions!$I$14*Assumptions!$I$69*Assumptions!$I$65/1000*$C$6,0))</f>
        <v>4.56288</v>
      </c>
      <c r="R22" s="269" t="n">
        <f aca="false">IF(AND(R6&gt;Assumptions!$I$52,IS!Q6&gt;Assumptions!$I$52),Assumptions!$I$68*Assumptions!$I$14*Assumptions!$I$69*Assumptions!$I$65/1000,IF(AND(R6&gt;Assumptions!$I$52,IS!Q6&lt;Assumptions!$I$52),Assumptions!$I$68*Assumptions!$I$14*Assumptions!$I$69*Assumptions!$I$65/1000*$C$6,0))</f>
        <v>4.56288</v>
      </c>
      <c r="S22" s="269" t="n">
        <f aca="false">IF(AND(S6&gt;Assumptions!$I$52,IS!R6&gt;Assumptions!$I$52),Assumptions!$I$68*Assumptions!$I$14*Assumptions!$I$69*Assumptions!$I$65/1000,IF(AND(S6&gt;Assumptions!$I$52,IS!R6&lt;Assumptions!$I$52),Assumptions!$I$68*Assumptions!$I$14*Assumptions!$I$69*Assumptions!$I$65/1000*$C$6,0))</f>
        <v>4.56288</v>
      </c>
      <c r="T22" s="269" t="n">
        <f aca="false">IF(AND(T6&gt;Assumptions!$I$52,IS!S6&gt;Assumptions!$I$52),Assumptions!$I$68*Assumptions!$I$14*Assumptions!$I$69*Assumptions!$I$65/1000,IF(AND(T6&gt;Assumptions!$I$52,IS!S6&lt;Assumptions!$I$52),Assumptions!$I$68*Assumptions!$I$14*Assumptions!$I$69*Assumptions!$I$65/1000*$C$6,0))</f>
        <v>4.56288</v>
      </c>
      <c r="U22" s="269" t="n">
        <f aca="false">IF(AND(U6&gt;Assumptions!$I$52,IS!T6&gt;Assumptions!$I$52),Assumptions!$I$68*Assumptions!$I$14*Assumptions!$I$69*Assumptions!$I$65/1000,IF(AND(U6&gt;Assumptions!$I$52,IS!T6&lt;Assumptions!$I$52),Assumptions!$I$68*Assumptions!$I$14*Assumptions!$I$69*Assumptions!$I$65/1000*$C$6,0))</f>
        <v>4.56288</v>
      </c>
      <c r="V22" s="269" t="n">
        <f aca="false">IF(AND(V6&gt;Assumptions!$I$52,IS!U6&gt;Assumptions!$I$52),Assumptions!$I$68*Assumptions!$I$14*Assumptions!$I$69*Assumptions!$I$65/1000,IF(AND(V6&gt;Assumptions!$I$52,IS!U6&lt;Assumptions!$I$52),Assumptions!$I$68*Assumptions!$I$14*Assumptions!$I$69*Assumptions!$I$65/1000*$C$6,0))</f>
        <v>4.56288</v>
      </c>
      <c r="W22" s="269" t="n">
        <f aca="false">IF(AND(W6&gt;Assumptions!$I$52,IS!V6&gt;Assumptions!$I$52),Assumptions!$I$68*Assumptions!$I$14*Assumptions!$I$69*Assumptions!$I$65/1000,IF(AND(W6&gt;Assumptions!$I$52,IS!V6&lt;Assumptions!$I$52),Assumptions!$I$68*Assumptions!$I$14*Assumptions!$I$69*Assumptions!$I$65/1000*$C$6,0))</f>
        <v>4.56288</v>
      </c>
      <c r="X22" s="269" t="n">
        <f aca="false">IF(AND(X6&gt;Assumptions!$I$52,IS!W6&gt;Assumptions!$I$52),Assumptions!$I$68*Assumptions!$I$14*Assumptions!$I$69*Assumptions!$I$65/1000,IF(AND(X6&gt;Assumptions!$I$52,IS!W6&lt;Assumptions!$I$52),Assumptions!$I$68*Assumptions!$I$14*Assumptions!$I$69*Assumptions!$I$65/1000*$C$6,0))</f>
        <v>4.56288</v>
      </c>
      <c r="Y22" s="269" t="n">
        <f aca="false">IF(AND(Y6&gt;Assumptions!$I$52,IS!X6&gt;Assumptions!$I$52),Assumptions!$I$68*Assumptions!$I$14*Assumptions!$I$69*Assumptions!$I$65/1000,IF(AND(Y6&gt;Assumptions!$I$52,IS!X6&lt;Assumptions!$I$52),Assumptions!$I$68*Assumptions!$I$14*Assumptions!$I$69*Assumptions!$I$65/1000*$C$6,0))</f>
        <v>4.56288</v>
      </c>
      <c r="Z22" s="269" t="n">
        <f aca="false">IF(AND(Z6&gt;Assumptions!$I$52,IS!Y6&gt;Assumptions!$I$52),Assumptions!$I$68*Assumptions!$I$14*Assumptions!$I$69*Assumptions!$I$65/1000,IF(AND(Z6&gt;Assumptions!$I$52,IS!Y6&lt;Assumptions!$I$52),Assumptions!$I$68*Assumptions!$I$14*Assumptions!$I$69*Assumptions!$I$65/1000*$C$6,0))</f>
        <v>4.56288</v>
      </c>
      <c r="AA22" s="269" t="n">
        <f aca="false">IF(AND(AA6&gt;Assumptions!$I$52,IS!Z6&gt;Assumptions!$I$52),Assumptions!$I$68*Assumptions!$I$14*Assumptions!$I$69*Assumptions!$I$65/1000,IF(AND(AA6&gt;Assumptions!$I$52,IS!Z6&lt;Assumptions!$I$52),Assumptions!$I$68*Assumptions!$I$14*Assumptions!$I$69*Assumptions!$I$65/1000*$C$6,0))</f>
        <v>4.56288</v>
      </c>
      <c r="AB22" s="269" t="n">
        <f aca="false">IF(AND(AB6&gt;Assumptions!$I$52,IS!AA6&gt;Assumptions!$I$52),Assumptions!$I$68*Assumptions!$I$14*Assumptions!$I$69*Assumptions!$I$65/1000,IF(AND(AB6&gt;Assumptions!$I$52,IS!AA6&lt;Assumptions!$I$52),Assumptions!$I$68*Assumptions!$I$14*Assumptions!$I$69*Assumptions!$I$65/1000*$C$6,0))</f>
        <v>4.56288</v>
      </c>
      <c r="AC22" s="269" t="n">
        <f aca="false">IF(AND(AC6&gt;Assumptions!$I$52,IS!AB6&gt;Assumptions!$I$52),Assumptions!$I$68*Assumptions!$I$14*Assumptions!$I$69*Assumptions!$I$65/1000,IF(AND(AC6&gt;Assumptions!$I$52,IS!AB6&lt;Assumptions!$I$52),Assumptions!$I$68*Assumptions!$I$14*Assumptions!$I$69*Assumptions!$I$65/1000*$C$6,0))</f>
        <v>4.56288</v>
      </c>
      <c r="AD22" s="269" t="n">
        <f aca="false">IF(AND(AD6&gt;Assumptions!$I$52,IS!AC6&gt;Assumptions!$I$52),Assumptions!$I$68*Assumptions!$I$14*Assumptions!$I$69*Assumptions!$I$65/1000,IF(AND(AD6&gt;Assumptions!$I$52,IS!AC6&lt;Assumptions!$I$52),Assumptions!$I$68*Assumptions!$I$14*Assumptions!$I$69*Assumptions!$I$65/1000*$C$6,0))</f>
        <v>4.56288</v>
      </c>
      <c r="AE22" s="269" t="n">
        <f aca="false">IF(AND(AE6&gt;Assumptions!$I$52,IS!AD6&gt;Assumptions!$I$52),Assumptions!$I$68*Assumptions!$I$14*Assumptions!$I$69*Assumptions!$I$65/1000,IF(AND(AE6&gt;Assumptions!$I$52,IS!AD6&lt;Assumptions!$I$52),Assumptions!$I$68*Assumptions!$I$14*Assumptions!$I$69*Assumptions!$I$65/1000*$C$6,0))</f>
        <v>4.56288</v>
      </c>
      <c r="AF22" s="269" t="n">
        <f aca="false">IF(AND(AF6&gt;Assumptions!$I$52,IS!AE6&gt;Assumptions!$I$52),Assumptions!$I$68*Assumptions!$I$14*Assumptions!$I$69*Assumptions!$I$65/1000,IF(AND(AF6&gt;Assumptions!$I$52,IS!AE6&lt;Assumptions!$I$52),Assumptions!$I$68*Assumptions!$I$14*Assumptions!$I$69*Assumptions!$I$65/1000*$C$6,0))</f>
        <v>4.56288</v>
      </c>
      <c r="AG22" s="269" t="n">
        <f aca="false">IF(AND(AG6&gt;Assumptions!$I$52,IS!AF6&gt;Assumptions!$I$52),Assumptions!$I$68*Assumptions!$I$14*Assumptions!$I$69*Assumptions!$I$65/1000,IF(AND(AG6&gt;Assumptions!$I$52,IS!AF6&lt;Assumptions!$I$52),Assumptions!$I$68*Assumptions!$I$14*Assumptions!$I$69*Assumptions!$I$65/1000*$C$6,0))</f>
        <v>4.56288</v>
      </c>
    </row>
    <row r="23" customFormat="false" ht="12.75" hidden="false" customHeight="false" outlineLevel="0" collapsed="false">
      <c r="A23" s="273" t="s">
        <v>215</v>
      </c>
      <c r="C23" s="269" t="n">
        <v>0</v>
      </c>
      <c r="D23" s="269" t="n">
        <v>0</v>
      </c>
      <c r="E23" s="269" t="n">
        <v>0</v>
      </c>
      <c r="F23" s="269" t="n">
        <v>0</v>
      </c>
      <c r="G23" s="269" t="n">
        <v>0</v>
      </c>
      <c r="H23" s="269" t="n">
        <v>0</v>
      </c>
      <c r="I23" s="269" t="n">
        <v>0</v>
      </c>
      <c r="J23" s="269" t="n">
        <v>0</v>
      </c>
      <c r="K23" s="269" t="n">
        <v>0</v>
      </c>
      <c r="L23" s="269" t="n">
        <v>0</v>
      </c>
      <c r="M23" s="269" t="n">
        <v>0</v>
      </c>
      <c r="N23" s="269" t="n">
        <v>0</v>
      </c>
      <c r="O23" s="269" t="n">
        <v>0</v>
      </c>
      <c r="P23" s="269" t="n">
        <v>0</v>
      </c>
      <c r="Q23" s="269" t="n">
        <v>0</v>
      </c>
      <c r="R23" s="269" t="n">
        <v>0</v>
      </c>
      <c r="S23" s="269" t="n">
        <v>0</v>
      </c>
      <c r="T23" s="269" t="n">
        <v>0</v>
      </c>
      <c r="U23" s="269" t="n">
        <v>0</v>
      </c>
      <c r="V23" s="269" t="n">
        <v>0</v>
      </c>
      <c r="W23" s="269" t="n">
        <v>0</v>
      </c>
      <c r="X23" s="269" t="n">
        <v>0</v>
      </c>
      <c r="Y23" s="269" t="n">
        <v>0</v>
      </c>
      <c r="Z23" s="269" t="n">
        <v>0</v>
      </c>
      <c r="AA23" s="269" t="n">
        <v>0</v>
      </c>
      <c r="AB23" s="269" t="n">
        <v>0</v>
      </c>
      <c r="AC23" s="269" t="n">
        <v>0</v>
      </c>
      <c r="AD23" s="269" t="n">
        <v>0</v>
      </c>
      <c r="AE23" s="269" t="n">
        <v>0</v>
      </c>
      <c r="AF23" s="269" t="n">
        <v>0</v>
      </c>
      <c r="AG23" s="269" t="n">
        <v>0</v>
      </c>
    </row>
    <row r="24" customFormat="false" ht="12.75" hidden="false" customHeight="false" outlineLevel="0" collapsed="false">
      <c r="A24" s="273" t="s">
        <v>216</v>
      </c>
      <c r="C24" s="274" t="n">
        <v>0</v>
      </c>
      <c r="D24" s="274" t="n">
        <v>0</v>
      </c>
      <c r="E24" s="274" t="n">
        <v>0</v>
      </c>
      <c r="F24" s="274" t="n">
        <v>0</v>
      </c>
      <c r="G24" s="274" t="n">
        <v>0</v>
      </c>
      <c r="H24" s="274" t="n">
        <v>0</v>
      </c>
      <c r="I24" s="274" t="n">
        <v>0</v>
      </c>
      <c r="J24" s="274" t="n">
        <v>0</v>
      </c>
      <c r="K24" s="274" t="n">
        <v>0</v>
      </c>
      <c r="L24" s="274" t="n">
        <v>0</v>
      </c>
      <c r="M24" s="274" t="n">
        <v>0</v>
      </c>
      <c r="N24" s="274" t="n">
        <v>0</v>
      </c>
      <c r="O24" s="274" t="n">
        <v>0</v>
      </c>
      <c r="P24" s="274" t="n">
        <v>0</v>
      </c>
      <c r="Q24" s="274" t="n">
        <v>0</v>
      </c>
      <c r="R24" s="274" t="n">
        <v>0</v>
      </c>
      <c r="S24" s="274" t="n">
        <v>0</v>
      </c>
      <c r="T24" s="274" t="n">
        <v>0</v>
      </c>
      <c r="U24" s="274" t="n">
        <v>0</v>
      </c>
      <c r="V24" s="274" t="n">
        <v>0</v>
      </c>
      <c r="W24" s="274" t="n">
        <v>0</v>
      </c>
      <c r="X24" s="274" t="n">
        <v>0</v>
      </c>
      <c r="Y24" s="274" t="n">
        <v>0</v>
      </c>
      <c r="Z24" s="274" t="n">
        <v>0</v>
      </c>
      <c r="AA24" s="274" t="n">
        <v>0</v>
      </c>
      <c r="AB24" s="274" t="n">
        <v>0</v>
      </c>
      <c r="AC24" s="274" t="n">
        <v>0</v>
      </c>
      <c r="AD24" s="274" t="n">
        <v>0</v>
      </c>
      <c r="AE24" s="274" t="n">
        <v>0</v>
      </c>
      <c r="AF24" s="274" t="n">
        <v>0</v>
      </c>
      <c r="AG24" s="274" t="n">
        <v>0</v>
      </c>
    </row>
    <row r="25" customFormat="false" ht="12.75" hidden="false" customHeight="false" outlineLevel="0" collapsed="false">
      <c r="A25" s="273" t="s">
        <v>217</v>
      </c>
      <c r="C25" s="275" t="n">
        <f aca="false">C29</f>
        <v>4258.079616</v>
      </c>
      <c r="D25" s="275" t="n">
        <f aca="false">D29</f>
        <v>4258.079616</v>
      </c>
      <c r="E25" s="275" t="n">
        <f aca="false">E29</f>
        <v>4258.079616</v>
      </c>
      <c r="F25" s="275" t="n">
        <f aca="false">F29</f>
        <v>4258.079616</v>
      </c>
      <c r="G25" s="275" t="n">
        <f aca="false">G29</f>
        <v>4258.079616</v>
      </c>
      <c r="H25" s="275" t="n">
        <f aca="false">H29</f>
        <v>4258.079616</v>
      </c>
      <c r="I25" s="275" t="n">
        <f aca="false">I29</f>
        <v>4258.079616</v>
      </c>
      <c r="J25" s="275" t="n">
        <f aca="false">J29</f>
        <v>4258.079616</v>
      </c>
      <c r="K25" s="275" t="n">
        <f aca="false">K29</f>
        <v>4258.079616</v>
      </c>
      <c r="L25" s="275" t="n">
        <f aca="false">L29</f>
        <v>4258.079616</v>
      </c>
      <c r="M25" s="275" t="n">
        <f aca="false">M29</f>
        <v>4258.079616</v>
      </c>
      <c r="N25" s="275" t="n">
        <f aca="false">N29</f>
        <v>4258.079616</v>
      </c>
      <c r="O25" s="275" t="n">
        <f aca="false">O29</f>
        <v>4258.079616</v>
      </c>
      <c r="P25" s="275" t="n">
        <f aca="false">P29</f>
        <v>4258.079616</v>
      </c>
      <c r="Q25" s="275" t="n">
        <f aca="false">Q29</f>
        <v>4258.079616</v>
      </c>
      <c r="R25" s="275" t="n">
        <f aca="false">R29</f>
        <v>4258.079616</v>
      </c>
      <c r="S25" s="275" t="n">
        <f aca="false">S29</f>
        <v>4258.079616</v>
      </c>
      <c r="T25" s="275" t="n">
        <f aca="false">T29</f>
        <v>4258.079616</v>
      </c>
      <c r="U25" s="275" t="n">
        <f aca="false">U29</f>
        <v>4258.079616</v>
      </c>
      <c r="V25" s="275" t="n">
        <f aca="false">V29</f>
        <v>4258.079616</v>
      </c>
      <c r="W25" s="275" t="n">
        <f aca="false">W29</f>
        <v>4258.079616</v>
      </c>
      <c r="X25" s="275" t="n">
        <f aca="false">X29</f>
        <v>4258.079616</v>
      </c>
      <c r="Y25" s="275" t="n">
        <f aca="false">Y29</f>
        <v>4258.079616</v>
      </c>
      <c r="Z25" s="275" t="n">
        <f aca="false">Z29</f>
        <v>4258.079616</v>
      </c>
      <c r="AA25" s="275" t="n">
        <f aca="false">AA29</f>
        <v>4258.079616</v>
      </c>
      <c r="AB25" s="275" t="n">
        <f aca="false">AB29</f>
        <v>4258.079616</v>
      </c>
      <c r="AC25" s="275" t="n">
        <f aca="false">AC29</f>
        <v>4258.079616</v>
      </c>
      <c r="AD25" s="275" t="n">
        <f aca="false">AD29</f>
        <v>4258.079616</v>
      </c>
      <c r="AE25" s="275" t="n">
        <f aca="false">AE29</f>
        <v>4258.079616</v>
      </c>
      <c r="AF25" s="275" t="n">
        <f aca="false">AF29</f>
        <v>4258.079616</v>
      </c>
      <c r="AG25" s="275" t="n">
        <f aca="false">AG29</f>
        <v>4258.079616</v>
      </c>
    </row>
    <row r="26" customFormat="false" ht="12.75" hidden="false" customHeight="false" outlineLevel="0" collapsed="false">
      <c r="A26" s="272" t="s">
        <v>218</v>
      </c>
      <c r="C26" s="266" t="n">
        <f aca="false">SUM(C11:C25)</f>
        <v>11864.772976</v>
      </c>
      <c r="D26" s="266" t="n">
        <f aca="false">SUM(D11:D25)</f>
        <v>15667.2297768</v>
      </c>
      <c r="E26" s="266" t="n">
        <f aca="false">SUM(E11:E25)</f>
        <v>9963.688281624</v>
      </c>
      <c r="F26" s="266" t="n">
        <f aca="false">SUM(F11:F25)</f>
        <v>16767.5143498522</v>
      </c>
      <c r="G26" s="266" t="n">
        <f aca="false">SUM(G11:G25)</f>
        <v>17268.4435227095</v>
      </c>
      <c r="H26" s="266" t="n">
        <f aca="false">SUM(H11:H25)</f>
        <v>17431.6043308947</v>
      </c>
      <c r="I26" s="266" t="n">
        <f aca="false">SUM(I11:I25)</f>
        <v>17592.849566647</v>
      </c>
      <c r="J26" s="266" t="n">
        <f aca="false">SUM(J11:J25)</f>
        <v>17751.917450893</v>
      </c>
      <c r="K26" s="266" t="n">
        <f aca="false">SUM(K11:K25)</f>
        <v>18156.5956995398</v>
      </c>
      <c r="L26" s="266" t="n">
        <f aca="false">SUM(L11:L25)</f>
        <v>18317.9089136051</v>
      </c>
      <c r="M26" s="266" t="n">
        <f aca="false">SUM(M11:M25)</f>
        <v>18739.5669061332</v>
      </c>
      <c r="N26" s="266" t="n">
        <f aca="false">SUM(N11:N25)</f>
        <v>18902.80897863</v>
      </c>
      <c r="O26" s="266" t="n">
        <f aca="false">SUM(O11:O25)</f>
        <v>19342.0139731089</v>
      </c>
      <c r="P26" s="266" t="n">
        <f aca="false">SUM(P11:P25)</f>
        <v>19506.8215589328</v>
      </c>
      <c r="Q26" s="266" t="n">
        <f aca="false">SUM(Q11:Q25)</f>
        <v>19667.9461655766</v>
      </c>
      <c r="R26" s="266" t="n">
        <f aca="false">SUM(R11:R25)</f>
        <v>19825.0184874624</v>
      </c>
      <c r="S26" s="266" t="n">
        <f aca="false">SUM(S11:S25)</f>
        <v>19977.6503753588</v>
      </c>
      <c r="T26" s="266" t="n">
        <f aca="false">SUM(T11:T25)</f>
        <v>20125.4340381366</v>
      </c>
      <c r="U26" s="266" t="n">
        <f aca="false">SUM(U11:U25)</f>
        <v>20267.9412135897</v>
      </c>
      <c r="V26" s="266" t="n">
        <f aca="false">SUM(V11:V25)</f>
        <v>20404.722307182</v>
      </c>
      <c r="W26" s="266" t="n">
        <f aca="false">SUM(W11:W25)</f>
        <v>20535.3054975441</v>
      </c>
      <c r="X26" s="266" t="n">
        <f aca="false">SUM(X11:X25)</f>
        <v>20659.1958074978</v>
      </c>
      <c r="Y26" s="266" t="n">
        <f aca="false">SUM(Y11:Y25)</f>
        <v>20783.0891951084</v>
      </c>
      <c r="Z26" s="266" t="n">
        <f aca="false">SUM(Z11:Z25)</f>
        <v>20906.9857527056</v>
      </c>
      <c r="AA26" s="266" t="n">
        <f aca="false">SUM(AA11:AA25)</f>
        <v>21030.885575389</v>
      </c>
      <c r="AB26" s="266" t="n">
        <f aca="false">SUM(AB11:AB25)</f>
        <v>21154.7887611112</v>
      </c>
      <c r="AC26" s="266" t="n">
        <f aca="false">SUM(AC11:AC25)</f>
        <v>21278.6954107633</v>
      </c>
      <c r="AD26" s="266" t="n">
        <f aca="false">SUM(AD11:AD25)</f>
        <v>21402.6056282633</v>
      </c>
      <c r="AE26" s="266" t="n">
        <f aca="false">SUM(AE11:AE25)</f>
        <v>21526.5195206465</v>
      </c>
      <c r="AF26" s="266" t="n">
        <f aca="false">SUM(AF11:AF25)</f>
        <v>21650.4371981595</v>
      </c>
      <c r="AG26" s="266" t="n">
        <f aca="false">SUM(AG11:AG25)</f>
        <v>21774.3587743562</v>
      </c>
    </row>
    <row r="27" customFormat="false" ht="12.75" hidden="false" customHeight="false" outlineLevel="0" collapsed="false">
      <c r="A27" s="270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</row>
    <row r="28" customFormat="false" ht="12.75" hidden="false" customHeight="false" outlineLevel="0" collapsed="false">
      <c r="A28" s="265" t="s">
        <v>219</v>
      </c>
      <c r="Y28" s="0"/>
      <c r="Z28" s="0"/>
    </row>
    <row r="29" customFormat="false" ht="12.75" hidden="false" customHeight="false" outlineLevel="0" collapsed="false">
      <c r="A29" s="268" t="s">
        <v>220</v>
      </c>
      <c r="C29" s="276" t="n">
        <f aca="false">((Assumptions!$I$14*(Assumptions!$O$10*(1-Assumptions!$I$56))*Assumptions!$I$13/1000000)*'Power Price Assumption'!D39)</f>
        <v>4258.079616</v>
      </c>
      <c r="D29" s="276" t="n">
        <f aca="false">((Assumptions!$I$14*(Assumptions!$O$10*(1-Assumptions!$I$56))*Assumptions!$I$13/1000000)*'Power Price Assumption'!E39)</f>
        <v>4258.079616</v>
      </c>
      <c r="E29" s="276" t="n">
        <f aca="false">((Assumptions!$I$14*(Assumptions!$O$10*(1-Assumptions!$I$56))*Assumptions!$I$13/1000000)*'Power Price Assumption'!F39)</f>
        <v>4258.079616</v>
      </c>
      <c r="F29" s="276" t="n">
        <f aca="false">((Assumptions!$I$14*(Assumptions!$O$10*(1-Assumptions!$I$56))*Assumptions!$I$13/1000000)*'Power Price Assumption'!G39)</f>
        <v>4258.079616</v>
      </c>
      <c r="G29" s="276" t="n">
        <f aca="false">((Assumptions!$I$14*(Assumptions!$O$10*(1-Assumptions!$I$56))*Assumptions!$I$13/1000000)*'Power Price Assumption'!H39)</f>
        <v>4258.079616</v>
      </c>
      <c r="H29" s="276" t="n">
        <f aca="false">((Assumptions!$I$14*(Assumptions!$O$10*(1-Assumptions!$I$56))*Assumptions!$I$13/1000000)*'Power Price Assumption'!I39)</f>
        <v>4258.079616</v>
      </c>
      <c r="I29" s="276" t="n">
        <f aca="false">((Assumptions!$I$14*(Assumptions!$O$10*(1-Assumptions!$I$56))*Assumptions!$I$13/1000000)*'Power Price Assumption'!J39)</f>
        <v>4258.079616</v>
      </c>
      <c r="J29" s="276" t="n">
        <f aca="false">((Assumptions!$I$14*(Assumptions!$O$10*(1-Assumptions!$I$56))*Assumptions!$I$13/1000000)*'Power Price Assumption'!K39)</f>
        <v>4258.079616</v>
      </c>
      <c r="K29" s="276" t="n">
        <f aca="false">((Assumptions!$I$14*(Assumptions!$O$10*(1-Assumptions!$I$56))*Assumptions!$I$13/1000000)*'Power Price Assumption'!L39)</f>
        <v>4258.079616</v>
      </c>
      <c r="L29" s="276" t="n">
        <f aca="false">((Assumptions!$I$14*(Assumptions!$O$10*(1-Assumptions!$I$56))*Assumptions!$I$13/1000000)*'Power Price Assumption'!M39)</f>
        <v>4258.079616</v>
      </c>
      <c r="M29" s="276" t="n">
        <f aca="false">((Assumptions!$I$14*(Assumptions!$O$10*(1-Assumptions!$I$56))*Assumptions!$I$13/1000000)*'Power Price Assumption'!N39)</f>
        <v>4258.079616</v>
      </c>
      <c r="N29" s="276" t="n">
        <f aca="false">((Assumptions!$I$14*(Assumptions!$O$10*(1-Assumptions!$I$56))*Assumptions!$I$13/1000000)*'Power Price Assumption'!O39)</f>
        <v>4258.079616</v>
      </c>
      <c r="O29" s="276" t="n">
        <f aca="false">((Assumptions!$I$14*(Assumptions!$O$10*(1-Assumptions!$I$56))*Assumptions!$I$13/1000000)*'Power Price Assumption'!P39)</f>
        <v>4258.079616</v>
      </c>
      <c r="P29" s="276" t="n">
        <f aca="false">((Assumptions!$I$14*(Assumptions!$O$10*(1-Assumptions!$I$56))*Assumptions!$I$13/1000000)*'Power Price Assumption'!Q39)</f>
        <v>4258.079616</v>
      </c>
      <c r="Q29" s="276" t="n">
        <f aca="false">((Assumptions!$I$14*(Assumptions!$O$10*(1-Assumptions!$I$56))*Assumptions!$I$13/1000000)*'Power Price Assumption'!R39)</f>
        <v>4258.079616</v>
      </c>
      <c r="R29" s="276" t="n">
        <f aca="false">((Assumptions!$I$14*(Assumptions!$O$10*(1-Assumptions!$I$56))*Assumptions!$I$13/1000000)*'Power Price Assumption'!S39)</f>
        <v>4258.079616</v>
      </c>
      <c r="S29" s="276" t="n">
        <f aca="false">((Assumptions!$I$14*(Assumptions!$O$10*(1-Assumptions!$I$56))*Assumptions!$I$13/1000000)*'Power Price Assumption'!T39)</f>
        <v>4258.079616</v>
      </c>
      <c r="T29" s="276" t="n">
        <f aca="false">((Assumptions!$I$14*(Assumptions!$O$10*(1-Assumptions!$I$56))*Assumptions!$I$13/1000000)*'Power Price Assumption'!U39)</f>
        <v>4258.079616</v>
      </c>
      <c r="U29" s="276" t="n">
        <f aca="false">((Assumptions!$I$14*(Assumptions!$O$10*(1-Assumptions!$I$56))*Assumptions!$I$13/1000000)*'Power Price Assumption'!V39)</f>
        <v>4258.079616</v>
      </c>
      <c r="V29" s="276" t="n">
        <f aca="false">((Assumptions!$I$14*(Assumptions!$O$10*(1-Assumptions!$I$56))*Assumptions!$I$13/1000000)*'Power Price Assumption'!W39)</f>
        <v>4258.079616</v>
      </c>
      <c r="W29" s="276" t="n">
        <f aca="false">((Assumptions!$I$14*(Assumptions!$O$10*(1-Assumptions!$I$56))*Assumptions!$I$13/1000000)*'Power Price Assumption'!X39)</f>
        <v>4258.079616</v>
      </c>
      <c r="X29" s="276" t="n">
        <f aca="false">((Assumptions!$I$14*(Assumptions!$O$10*(1-Assumptions!$I$56))*Assumptions!$I$13/1000000)*'Power Price Assumption'!Y39)</f>
        <v>4258.079616</v>
      </c>
      <c r="Y29" s="276" t="n">
        <f aca="false">((Assumptions!$I$14*(Assumptions!$O$10*(1-Assumptions!$I$56))*Assumptions!$I$13/1000000)*'Power Price Assumption'!Z39)</f>
        <v>4258.079616</v>
      </c>
      <c r="Z29" s="276" t="n">
        <f aca="false">((Assumptions!$I$14*(Assumptions!$O$10*(1-Assumptions!$I$56))*Assumptions!$I$13/1000000)*'Power Price Assumption'!AA39)</f>
        <v>4258.079616</v>
      </c>
      <c r="AA29" s="276" t="n">
        <f aca="false">((Assumptions!$I$14*(Assumptions!$O$10*(1-Assumptions!$I$56))*Assumptions!$I$13/1000000)*'Power Price Assumption'!AB39)</f>
        <v>4258.079616</v>
      </c>
      <c r="AB29" s="276" t="n">
        <f aca="false">((Assumptions!$I$14*(Assumptions!$O$10*(1-Assumptions!$I$56))*Assumptions!$I$13/1000000)*'Power Price Assumption'!AC39)</f>
        <v>4258.079616</v>
      </c>
      <c r="AC29" s="276" t="n">
        <f aca="false">((Assumptions!$I$14*(Assumptions!$O$10*(1-Assumptions!$I$56))*Assumptions!$I$13/1000000)*'Power Price Assumption'!AD39)</f>
        <v>4258.079616</v>
      </c>
      <c r="AD29" s="276" t="n">
        <f aca="false">((Assumptions!$I$14*(Assumptions!$O$10*(1-Assumptions!$I$56))*Assumptions!$I$13/1000000)*'Power Price Assumption'!AE39)</f>
        <v>4258.079616</v>
      </c>
      <c r="AE29" s="276" t="n">
        <f aca="false">((Assumptions!$I$14*(Assumptions!$O$10*(1-Assumptions!$I$56))*Assumptions!$I$13/1000000)*'Power Price Assumption'!AF39)</f>
        <v>4258.079616</v>
      </c>
      <c r="AF29" s="276" t="n">
        <f aca="false">((Assumptions!$I$14*(Assumptions!$O$10*(1-Assumptions!$I$56))*Assumptions!$I$13/1000000)*'Power Price Assumption'!AG39)</f>
        <v>4258.079616</v>
      </c>
      <c r="AG29" s="276" t="n">
        <f aca="false">((Assumptions!$I$14*(Assumptions!$O$10*(1-Assumptions!$I$56))*Assumptions!$I$13/1000000)*'Power Price Assumption'!AH39)</f>
        <v>4258.079616</v>
      </c>
    </row>
    <row r="30" customFormat="false" ht="12.75" hidden="false" customHeight="false" outlineLevel="0" collapsed="false">
      <c r="A30" s="268" t="s">
        <v>81</v>
      </c>
      <c r="C30" s="277" t="n">
        <f aca="false">Assumptions!$O25*Assumptions!I19/12</f>
        <v>269</v>
      </c>
      <c r="D30" s="277" t="n">
        <f aca="false">Assumptions!$O25*(1+Assumptions!$O$21)</f>
        <v>415.605</v>
      </c>
      <c r="E30" s="277" t="n">
        <f aca="false">D30*(1+Assumptions!$O$21)</f>
        <v>428.07315</v>
      </c>
      <c r="F30" s="277" t="n">
        <f aca="false">E30*(1+Assumptions!$O$21)</f>
        <v>440.9153445</v>
      </c>
      <c r="G30" s="277" t="n">
        <f aca="false">F30*(1+Assumptions!$O$21)</f>
        <v>454.142804835</v>
      </c>
      <c r="H30" s="277" t="n">
        <f aca="false">G30*(1+Assumptions!$O$21)</f>
        <v>467.76708898005</v>
      </c>
      <c r="I30" s="277" t="n">
        <f aca="false">H30*(1+Assumptions!$O$21)</f>
        <v>481.800101649452</v>
      </c>
      <c r="J30" s="277" t="n">
        <f aca="false">I30*(1+Assumptions!$O$21)</f>
        <v>496.254104698935</v>
      </c>
      <c r="K30" s="277" t="n">
        <f aca="false">J30*(1+Assumptions!$O$21)</f>
        <v>511.141727839903</v>
      </c>
      <c r="L30" s="277" t="n">
        <f aca="false">K30*(1+Assumptions!$O$21)</f>
        <v>526.4759796751</v>
      </c>
      <c r="M30" s="277" t="n">
        <f aca="false">L30*(1+Assumptions!$O$21)</f>
        <v>542.270259065353</v>
      </c>
      <c r="N30" s="277" t="n">
        <f aca="false">M30*(1+Assumptions!$O$21)</f>
        <v>558.538366837314</v>
      </c>
      <c r="O30" s="277" t="n">
        <f aca="false">N30*(1+Assumptions!$O$21)</f>
        <v>575.294517842433</v>
      </c>
      <c r="P30" s="277" t="n">
        <f aca="false">O30*(1+Assumptions!$O$21)</f>
        <v>592.553353377706</v>
      </c>
      <c r="Q30" s="277" t="n">
        <f aca="false">P30*(1+Assumptions!$O$21)</f>
        <v>610.329953979038</v>
      </c>
      <c r="R30" s="277" t="n">
        <f aca="false">Q30*(1+Assumptions!$O$21)</f>
        <v>628.639852598409</v>
      </c>
      <c r="S30" s="277" t="n">
        <f aca="false">R30*(1+Assumptions!$O$21)</f>
        <v>647.499048176361</v>
      </c>
      <c r="T30" s="277" t="n">
        <f aca="false">S30*(1+Assumptions!$O$21)</f>
        <v>666.924019621652</v>
      </c>
      <c r="U30" s="277" t="n">
        <f aca="false">T30*(1+Assumptions!$O$21)</f>
        <v>686.931740210301</v>
      </c>
      <c r="V30" s="277" t="n">
        <f aca="false">U30*(1+Assumptions!$O$21)</f>
        <v>707.53969241661</v>
      </c>
      <c r="W30" s="277" t="n">
        <f aca="false">V30*(1+Assumptions!$O$21)</f>
        <v>728.765883189109</v>
      </c>
      <c r="X30" s="277" t="n">
        <f aca="false">W30*(1+Assumptions!$O$21)</f>
        <v>750.628859684782</v>
      </c>
      <c r="Y30" s="277" t="n">
        <f aca="false">X30*(1+Assumptions!$O$21)</f>
        <v>773.147725475325</v>
      </c>
      <c r="Z30" s="277" t="n">
        <f aca="false">Y30*(1+Assumptions!$O$21)</f>
        <v>796.342157239585</v>
      </c>
      <c r="AA30" s="277" t="n">
        <f aca="false">Z30*(1+Assumptions!$O$21)</f>
        <v>820.232421956773</v>
      </c>
      <c r="AB30" s="277" t="n">
        <f aca="false">AA30*(1+Assumptions!$O$21)</f>
        <v>844.839394615476</v>
      </c>
      <c r="AC30" s="277" t="n">
        <f aca="false">AB30*(1+Assumptions!$O$21)</f>
        <v>870.18457645394</v>
      </c>
      <c r="AD30" s="277" t="n">
        <f aca="false">AC30*(1+Assumptions!$O$21)</f>
        <v>896.290113747559</v>
      </c>
      <c r="AE30" s="277" t="n">
        <f aca="false">AD30*(1+Assumptions!$O$21)</f>
        <v>923.178817159985</v>
      </c>
      <c r="AF30" s="277" t="n">
        <f aca="false">AE30*(1+Assumptions!$O$21)</f>
        <v>950.874181674785</v>
      </c>
      <c r="AG30" s="277" t="n">
        <f aca="false">AF30*(1+Assumptions!$O$21)</f>
        <v>979.400407125029</v>
      </c>
    </row>
    <row r="31" customFormat="false" ht="12.75" hidden="false" customHeight="false" outlineLevel="0" collapsed="false">
      <c r="A31" s="268" t="s">
        <v>221</v>
      </c>
      <c r="C31" s="276" t="n">
        <f aca="false">+(Assumptions!$O$26*Assumptions!$I$57*Assumptions!$I$14)/1000</f>
        <v>367.31184</v>
      </c>
      <c r="D31" s="277" t="n">
        <f aca="false">C31*(1+Assumptions!$O$21)</f>
        <v>378.3311952</v>
      </c>
      <c r="E31" s="277" t="n">
        <f aca="false">D31*(1+Assumptions!$O$21)</f>
        <v>389.681131056</v>
      </c>
      <c r="F31" s="277" t="n">
        <f aca="false">E31*(1+Assumptions!$O$21)</f>
        <v>401.37156498768</v>
      </c>
      <c r="G31" s="277" t="n">
        <f aca="false">F31*(1+Assumptions!$O$21)</f>
        <v>413.41271193731</v>
      </c>
      <c r="H31" s="277" t="n">
        <f aca="false">G31*(1+Assumptions!$O$21)</f>
        <v>425.81509329543</v>
      </c>
      <c r="I31" s="277" t="n">
        <f aca="false">H31*(1+Assumptions!$O$21)</f>
        <v>438.589546094293</v>
      </c>
      <c r="J31" s="277" t="n">
        <f aca="false">I31*(1+Assumptions!$O$21)</f>
        <v>451.747232477121</v>
      </c>
      <c r="K31" s="277" t="n">
        <f aca="false">J31*(1+Assumptions!$O$21)</f>
        <v>465.299649451435</v>
      </c>
      <c r="L31" s="277" t="n">
        <f aca="false">K31*(1+Assumptions!$O$21)</f>
        <v>479.258638934978</v>
      </c>
      <c r="M31" s="277" t="n">
        <f aca="false">L31*(1+Assumptions!$O$21)</f>
        <v>493.636398103028</v>
      </c>
      <c r="N31" s="277" t="n">
        <f aca="false">M31*(1+Assumptions!$O$21)</f>
        <v>508.445490046118</v>
      </c>
      <c r="O31" s="277" t="n">
        <f aca="false">N31*(1+Assumptions!$O$21)</f>
        <v>523.698854747502</v>
      </c>
      <c r="P31" s="277" t="n">
        <f aca="false">O31*(1+Assumptions!$O$21)</f>
        <v>539.409820389927</v>
      </c>
      <c r="Q31" s="277" t="n">
        <f aca="false">P31*(1+Assumptions!$O$21)</f>
        <v>555.592115001625</v>
      </c>
      <c r="R31" s="277" t="n">
        <f aca="false">Q31*(1+Assumptions!$O$21)</f>
        <v>572.259878451673</v>
      </c>
      <c r="S31" s="277" t="n">
        <f aca="false">R31*(1+Assumptions!$O$21)</f>
        <v>589.427674805224</v>
      </c>
      <c r="T31" s="277" t="n">
        <f aca="false">S31*(1+Assumptions!$O$21)</f>
        <v>607.11050504938</v>
      </c>
      <c r="U31" s="277" t="n">
        <f aca="false">T31*(1+Assumptions!$O$21)</f>
        <v>625.323820200862</v>
      </c>
      <c r="V31" s="277" t="n">
        <f aca="false">U31*(1+Assumptions!$O$21)</f>
        <v>644.083534806888</v>
      </c>
      <c r="W31" s="277" t="n">
        <f aca="false">V31*(1+Assumptions!$O$21)</f>
        <v>663.406040851094</v>
      </c>
      <c r="X31" s="277" t="n">
        <f aca="false">W31*(1+Assumptions!$O$21)</f>
        <v>683.308222076627</v>
      </c>
      <c r="Y31" s="277" t="n">
        <f aca="false">X31*(1+Assumptions!$O$21)</f>
        <v>703.807468738926</v>
      </c>
      <c r="Z31" s="277" t="n">
        <f aca="false">Y31*(1+Assumptions!$O$21)</f>
        <v>724.921692801094</v>
      </c>
      <c r="AA31" s="277" t="n">
        <f aca="false">Z31*(1+Assumptions!$O$21)</f>
        <v>746.669343585127</v>
      </c>
      <c r="AB31" s="277" t="n">
        <f aca="false">AA31*(1+Assumptions!$O$21)</f>
        <v>769.069423892681</v>
      </c>
      <c r="AC31" s="277" t="n">
        <f aca="false">AB31*(1+Assumptions!$O$21)</f>
        <v>792.141506609461</v>
      </c>
      <c r="AD31" s="277" t="n">
        <f aca="false">AC31*(1+Assumptions!$O$21)</f>
        <v>815.905751807745</v>
      </c>
      <c r="AE31" s="277" t="n">
        <f aca="false">AD31*(1+Assumptions!$O$21)</f>
        <v>840.382924361977</v>
      </c>
      <c r="AF31" s="277" t="n">
        <f aca="false">AE31*(1+Assumptions!$O$21)</f>
        <v>865.594412092837</v>
      </c>
      <c r="AG31" s="277" t="n">
        <f aca="false">AF31*(1+Assumptions!$O$21)</f>
        <v>891.562244455622</v>
      </c>
    </row>
    <row r="32" customFormat="false" ht="12.75" hidden="false" customHeight="false" outlineLevel="0" collapsed="false">
      <c r="A32" s="268" t="s">
        <v>91</v>
      </c>
      <c r="C32" s="278" t="n">
        <v>0</v>
      </c>
      <c r="D32" s="278" t="n">
        <v>0</v>
      </c>
      <c r="E32" s="278" t="n">
        <v>0</v>
      </c>
      <c r="F32" s="278" t="n">
        <v>0</v>
      </c>
      <c r="G32" s="278" t="n">
        <v>0</v>
      </c>
      <c r="H32" s="278" t="n">
        <v>0</v>
      </c>
      <c r="I32" s="278" t="n">
        <v>0</v>
      </c>
      <c r="J32" s="278" t="n">
        <v>0</v>
      </c>
      <c r="K32" s="278" t="n">
        <v>0</v>
      </c>
      <c r="L32" s="278" t="n">
        <v>0</v>
      </c>
      <c r="M32" s="278" t="n">
        <v>0</v>
      </c>
      <c r="N32" s="278" t="n">
        <v>0</v>
      </c>
      <c r="O32" s="278" t="n">
        <v>0</v>
      </c>
      <c r="P32" s="278" t="n">
        <v>0</v>
      </c>
      <c r="Q32" s="278" t="n">
        <v>0</v>
      </c>
      <c r="R32" s="278" t="n">
        <v>0</v>
      </c>
      <c r="S32" s="278" t="n">
        <v>0</v>
      </c>
      <c r="T32" s="278" t="n">
        <v>0</v>
      </c>
      <c r="U32" s="278" t="n">
        <v>0</v>
      </c>
      <c r="V32" s="278" t="n">
        <v>0</v>
      </c>
      <c r="W32" s="278" t="n">
        <v>0</v>
      </c>
      <c r="X32" s="278" t="n">
        <v>0</v>
      </c>
      <c r="Y32" s="278" t="n">
        <v>0</v>
      </c>
      <c r="Z32" s="278" t="n">
        <v>0</v>
      </c>
      <c r="AA32" s="278" t="n">
        <v>0</v>
      </c>
      <c r="AB32" s="278" t="n">
        <v>0</v>
      </c>
      <c r="AC32" s="278" t="n">
        <v>0</v>
      </c>
      <c r="AD32" s="278" t="n">
        <v>0</v>
      </c>
      <c r="AE32" s="278" t="n">
        <v>0</v>
      </c>
      <c r="AF32" s="278" t="n">
        <v>0</v>
      </c>
      <c r="AG32" s="278" t="n">
        <v>0</v>
      </c>
    </row>
    <row r="33" customFormat="false" ht="12.75" hidden="false" customHeight="false" outlineLevel="0" collapsed="false">
      <c r="A33" s="268" t="s">
        <v>95</v>
      </c>
      <c r="C33" s="277" t="n">
        <f aca="false">Assumptions!$O30*Assumptions!I19/12</f>
        <v>74.6666666666667</v>
      </c>
      <c r="D33" s="277" t="n">
        <f aca="false">Assumptions!$O30*(1+Assumptions!$O$21)</f>
        <v>115.36</v>
      </c>
      <c r="E33" s="277" t="n">
        <f aca="false">D33*(1+Assumptions!$O$21)</f>
        <v>118.8208</v>
      </c>
      <c r="F33" s="277" t="n">
        <f aca="false">E33*(1+Assumptions!$O$21)</f>
        <v>122.385424</v>
      </c>
      <c r="G33" s="277" t="n">
        <f aca="false">F33*(1+Assumptions!$O$21)</f>
        <v>126.05698672</v>
      </c>
      <c r="H33" s="277" t="n">
        <f aca="false">G33*(1+Assumptions!$O$21)</f>
        <v>129.8386963216</v>
      </c>
      <c r="I33" s="277" t="n">
        <f aca="false">H33*(1+Assumptions!$O$21)</f>
        <v>133.733857211248</v>
      </c>
      <c r="J33" s="277" t="n">
        <f aca="false">I33*(1+Assumptions!$O$21)</f>
        <v>137.745872927585</v>
      </c>
      <c r="K33" s="277" t="n">
        <f aca="false">J33*(1+Assumptions!$O$21)</f>
        <v>141.878249115413</v>
      </c>
      <c r="L33" s="277" t="n">
        <f aca="false">K33*(1+Assumptions!$O$21)</f>
        <v>146.134596588875</v>
      </c>
      <c r="M33" s="277" t="n">
        <f aca="false">L33*(1+Assumptions!$O$21)</f>
        <v>150.518634486542</v>
      </c>
      <c r="N33" s="277" t="n">
        <f aca="false">M33*(1+Assumptions!$O$21)</f>
        <v>155.034193521138</v>
      </c>
      <c r="O33" s="277" t="n">
        <f aca="false">N33*(1+Assumptions!$O$21)</f>
        <v>159.685219326772</v>
      </c>
      <c r="P33" s="277" t="n">
        <f aca="false">O33*(1+Assumptions!$O$21)</f>
        <v>164.475775906575</v>
      </c>
      <c r="Q33" s="277" t="n">
        <f aca="false">P33*(1+Assumptions!$O$21)</f>
        <v>169.410049183773</v>
      </c>
      <c r="R33" s="277" t="n">
        <f aca="false">Q33*(1+Assumptions!$O$21)</f>
        <v>174.492350659286</v>
      </c>
      <c r="S33" s="277" t="n">
        <f aca="false">R33*(1+Assumptions!$O$21)</f>
        <v>179.727121179064</v>
      </c>
      <c r="T33" s="277" t="n">
        <f aca="false">S33*(1+Assumptions!$O$21)</f>
        <v>185.118934814436</v>
      </c>
      <c r="U33" s="277" t="n">
        <f aca="false">T33*(1+Assumptions!$O$21)</f>
        <v>190.672502858869</v>
      </c>
      <c r="V33" s="277" t="n">
        <f aca="false">U33*(1+Assumptions!$O$21)</f>
        <v>196.392677944635</v>
      </c>
      <c r="W33" s="277" t="n">
        <f aca="false">V33*(1+Assumptions!$O$21)</f>
        <v>202.284458282974</v>
      </c>
      <c r="X33" s="277" t="n">
        <f aca="false">W33*(1+Assumptions!$O$21)</f>
        <v>208.352992031464</v>
      </c>
      <c r="Y33" s="277" t="n">
        <f aca="false">X33*(1+Assumptions!$O$21)</f>
        <v>214.603581792408</v>
      </c>
      <c r="Z33" s="277" t="n">
        <f aca="false">Y33*(1+Assumptions!$O$21)</f>
        <v>221.04168924618</v>
      </c>
      <c r="AA33" s="277" t="n">
        <f aca="false">Z33*(1+Assumptions!$O$21)</f>
        <v>227.672939923565</v>
      </c>
      <c r="AB33" s="277" t="n">
        <f aca="false">AA33*(1+Assumptions!$O$21)</f>
        <v>234.503128121272</v>
      </c>
      <c r="AC33" s="277" t="n">
        <f aca="false">AB33*(1+Assumptions!$O$21)</f>
        <v>241.53822196491</v>
      </c>
      <c r="AD33" s="277" t="n">
        <f aca="false">AC33*(1+Assumptions!$O$21)</f>
        <v>248.784368623858</v>
      </c>
      <c r="AE33" s="277" t="n">
        <f aca="false">AD33*(1+Assumptions!$O$21)</f>
        <v>256.247899682573</v>
      </c>
      <c r="AF33" s="277" t="n">
        <f aca="false">AE33*(1+Assumptions!$O$21)</f>
        <v>263.935336673051</v>
      </c>
      <c r="AG33" s="277" t="n">
        <f aca="false">AF33*(1+Assumptions!$O$21)</f>
        <v>271.853396773242</v>
      </c>
    </row>
    <row r="34" customFormat="false" ht="12.75" hidden="false" customHeight="false" outlineLevel="0" collapsed="false">
      <c r="A34" s="268" t="s">
        <v>98</v>
      </c>
      <c r="C34" s="277" t="n">
        <f aca="false">Assumptions!$O31*Assumptions!I19/12</f>
        <v>113.333333333333</v>
      </c>
      <c r="D34" s="277" t="n">
        <f aca="false">(Assumptions!$O31)*(1+Assumptions!$O$21)</f>
        <v>175.1</v>
      </c>
      <c r="E34" s="277" t="n">
        <f aca="false">D34*(1+Assumptions!$O$21)</f>
        <v>180.353</v>
      </c>
      <c r="F34" s="277" t="n">
        <f aca="false">E34*(1+Assumptions!$O$21)</f>
        <v>185.76359</v>
      </c>
      <c r="G34" s="277" t="n">
        <f aca="false">F34*(1+Assumptions!$O$21)</f>
        <v>191.3364977</v>
      </c>
      <c r="H34" s="277" t="n">
        <f aca="false">G34*(1+Assumptions!$O$21)</f>
        <v>197.076592631</v>
      </c>
      <c r="I34" s="277" t="n">
        <f aca="false">H34*(1+Assumptions!$O$21)</f>
        <v>202.98889040993</v>
      </c>
      <c r="J34" s="277" t="n">
        <f aca="false">I34*(1+Assumptions!$O$21)</f>
        <v>209.078557122228</v>
      </c>
      <c r="K34" s="277" t="n">
        <f aca="false">J34*(1+Assumptions!$O$21)</f>
        <v>215.350913835895</v>
      </c>
      <c r="L34" s="277" t="n">
        <f aca="false">K34*(1+Assumptions!$O$21)</f>
        <v>221.811441250972</v>
      </c>
      <c r="M34" s="277" t="n">
        <f aca="false">L34*(1+Assumptions!$O$21)</f>
        <v>228.465784488501</v>
      </c>
      <c r="N34" s="277" t="n">
        <f aca="false">M34*(1+Assumptions!$O$21)</f>
        <v>235.319758023156</v>
      </c>
      <c r="O34" s="277" t="n">
        <f aca="false">N34*(1+Assumptions!$O$21)</f>
        <v>242.379350763851</v>
      </c>
      <c r="P34" s="277" t="n">
        <f aca="false">O34*(1+Assumptions!$O$21)</f>
        <v>249.650731286766</v>
      </c>
      <c r="Q34" s="277" t="n">
        <f aca="false">P34*(1+Assumptions!$O$21)</f>
        <v>257.140253225369</v>
      </c>
      <c r="R34" s="277" t="n">
        <f aca="false">Q34*(1+Assumptions!$O$21)</f>
        <v>264.85446082213</v>
      </c>
      <c r="S34" s="277" t="n">
        <f aca="false">R34*(1+Assumptions!$O$21)</f>
        <v>272.800094646794</v>
      </c>
      <c r="T34" s="277" t="n">
        <f aca="false">S34*(1+Assumptions!$O$21)</f>
        <v>280.984097486198</v>
      </c>
      <c r="U34" s="277" t="n">
        <f aca="false">T34*(1+Assumptions!$O$21)</f>
        <v>289.413620410784</v>
      </c>
      <c r="V34" s="277" t="n">
        <f aca="false">U34*(1+Assumptions!$O$21)</f>
        <v>298.096029023107</v>
      </c>
      <c r="W34" s="277" t="n">
        <f aca="false">V34*(1+Assumptions!$O$21)</f>
        <v>307.038909893801</v>
      </c>
      <c r="X34" s="277" t="n">
        <f aca="false">W34*(1+Assumptions!$O$21)</f>
        <v>316.250077190615</v>
      </c>
      <c r="Y34" s="277" t="n">
        <f aca="false">X34*(1+Assumptions!$O$21)</f>
        <v>325.737579506333</v>
      </c>
      <c r="Z34" s="277" t="n">
        <f aca="false">Y34*(1+Assumptions!$O$21)</f>
        <v>335.509706891523</v>
      </c>
      <c r="AA34" s="277" t="n">
        <f aca="false">Z34*(1+Assumptions!$O$21)</f>
        <v>345.574998098269</v>
      </c>
      <c r="AB34" s="277" t="n">
        <f aca="false">AA34*(1+Assumptions!$O$21)</f>
        <v>355.942248041217</v>
      </c>
      <c r="AC34" s="277" t="n">
        <f aca="false">AB34*(1+Assumptions!$O$21)</f>
        <v>366.620515482453</v>
      </c>
      <c r="AD34" s="277" t="n">
        <f aca="false">AC34*(1+Assumptions!$O$21)</f>
        <v>377.619130946927</v>
      </c>
      <c r="AE34" s="277" t="n">
        <f aca="false">AD34*(1+Assumptions!$O$21)</f>
        <v>388.947704875335</v>
      </c>
      <c r="AF34" s="277" t="n">
        <f aca="false">AE34*(1+Assumptions!$O$21)</f>
        <v>400.616136021595</v>
      </c>
      <c r="AG34" s="277" t="n">
        <f aca="false">AF34*(1+Assumptions!$O$21)</f>
        <v>412.634620102243</v>
      </c>
    </row>
    <row r="35" customFormat="false" ht="12.75" hidden="false" customHeight="false" outlineLevel="0" collapsed="false">
      <c r="A35" s="268" t="s">
        <v>222</v>
      </c>
      <c r="C35" s="277" t="n">
        <f aca="false">+Assumptions!O32*Assumptions!I19/12</f>
        <v>31.6666666666667</v>
      </c>
      <c r="D35" s="277" t="n">
        <f aca="false">+Assumptions!O32*(1+Assumptions!$O$21)</f>
        <v>48.925</v>
      </c>
      <c r="E35" s="277" t="n">
        <f aca="false">D35*(1+Assumptions!$O$21)</f>
        <v>50.39275</v>
      </c>
      <c r="F35" s="277" t="n">
        <f aca="false">E35*(1+Assumptions!$O$21)</f>
        <v>51.9045325</v>
      </c>
      <c r="G35" s="277" t="n">
        <f aca="false">F35*(1+Assumptions!$O$21)</f>
        <v>53.461668475</v>
      </c>
      <c r="H35" s="277" t="n">
        <f aca="false">G35*(1+Assumptions!$O$21)</f>
        <v>55.06551852925</v>
      </c>
      <c r="I35" s="277" t="n">
        <f aca="false">H35*(1+Assumptions!$O$21)</f>
        <v>56.7174840851275</v>
      </c>
      <c r="J35" s="277" t="n">
        <f aca="false">I35*(1+Assumptions!$O$21)</f>
        <v>58.4190086076813</v>
      </c>
      <c r="K35" s="277" t="n">
        <f aca="false">J35*(1+Assumptions!$O$21)</f>
        <v>60.1715788659118</v>
      </c>
      <c r="L35" s="277" t="n">
        <f aca="false">K35*(1+Assumptions!$O$21)</f>
        <v>61.9767262318891</v>
      </c>
      <c r="M35" s="277" t="n">
        <f aca="false">L35*(1+Assumptions!$O$21)</f>
        <v>63.8360280188458</v>
      </c>
      <c r="N35" s="277" t="n">
        <f aca="false">M35*(1+Assumptions!$O$21)</f>
        <v>65.7511088594112</v>
      </c>
      <c r="O35" s="277" t="n">
        <f aca="false">N35*(1+Assumptions!$O$21)</f>
        <v>67.7236421251935</v>
      </c>
      <c r="P35" s="277" t="n">
        <f aca="false">O35*(1+Assumptions!$O$21)</f>
        <v>69.7553513889493</v>
      </c>
      <c r="Q35" s="277" t="n">
        <f aca="false">P35*(1+Assumptions!$O$21)</f>
        <v>71.8480119306178</v>
      </c>
      <c r="R35" s="277" t="n">
        <f aca="false">Q35*(1+Assumptions!$O$21)</f>
        <v>74.0034522885363</v>
      </c>
      <c r="S35" s="277" t="n">
        <f aca="false">R35*(1+Assumptions!$O$21)</f>
        <v>76.2235558571924</v>
      </c>
      <c r="T35" s="277" t="n">
        <f aca="false">S35*(1+Assumptions!$O$21)</f>
        <v>78.5102625329082</v>
      </c>
      <c r="U35" s="277" t="n">
        <f aca="false">T35*(1+Assumptions!$O$21)</f>
        <v>80.8655704088955</v>
      </c>
      <c r="V35" s="277" t="n">
        <f aca="false">U35*(1+Assumptions!$O$21)</f>
        <v>83.2915375211623</v>
      </c>
      <c r="W35" s="277" t="n">
        <f aca="false">V35*(1+Assumptions!$O$21)</f>
        <v>85.7902836467972</v>
      </c>
      <c r="X35" s="277" t="n">
        <f aca="false">W35*(1+Assumptions!$O$21)</f>
        <v>88.3639921562011</v>
      </c>
      <c r="Y35" s="277" t="n">
        <f aca="false">X35*(1+Assumptions!$O$21)</f>
        <v>91.0149119208871</v>
      </c>
      <c r="Z35" s="277" t="n">
        <f aca="false">Y35*(1+Assumptions!$O$21)</f>
        <v>93.7453592785138</v>
      </c>
      <c r="AA35" s="277" t="n">
        <f aca="false">Z35*(1+Assumptions!$O$21)</f>
        <v>96.5577200568692</v>
      </c>
      <c r="AB35" s="277" t="n">
        <f aca="false">AA35*(1+Assumptions!$O$21)</f>
        <v>99.4544516585752</v>
      </c>
      <c r="AC35" s="277" t="n">
        <f aca="false">AB35*(1+Assumptions!$O$21)</f>
        <v>102.438085208333</v>
      </c>
      <c r="AD35" s="277" t="n">
        <f aca="false">AC35*(1+Assumptions!$O$21)</f>
        <v>105.511227764582</v>
      </c>
      <c r="AE35" s="277" t="n">
        <f aca="false">AD35*(1+Assumptions!$O$21)</f>
        <v>108.67656459752</v>
      </c>
      <c r="AF35" s="277" t="n">
        <f aca="false">AE35*(1+Assumptions!$O$21)</f>
        <v>111.936861535446</v>
      </c>
      <c r="AG35" s="277" t="n">
        <f aca="false">AF35*(1+Assumptions!$O$21)</f>
        <v>115.294967381509</v>
      </c>
    </row>
    <row r="36" customFormat="false" ht="14.25" hidden="false" customHeight="true" outlineLevel="0" collapsed="false">
      <c r="A36" s="268" t="s">
        <v>223</v>
      </c>
      <c r="C36" s="277" t="n">
        <f aca="false">Assumptions!O39</f>
        <v>300</v>
      </c>
      <c r="D36" s="277" t="n">
        <f aca="false">+C36*(1+Assumptions!$O$21)</f>
        <v>309</v>
      </c>
      <c r="E36" s="277" t="n">
        <f aca="false">+D36*(1+Assumptions!$O$21)</f>
        <v>318.27</v>
      </c>
      <c r="F36" s="277" t="n">
        <f aca="false">+E36*(1+Assumptions!$O$21)</f>
        <v>327.8181</v>
      </c>
      <c r="G36" s="277" t="n">
        <f aca="false">+F36*(1+Assumptions!$O$21)</f>
        <v>337.652643</v>
      </c>
      <c r="H36" s="277" t="n">
        <f aca="false">+G36*(1+Assumptions!$O$21)</f>
        <v>347.78222229</v>
      </c>
      <c r="I36" s="277" t="n">
        <f aca="false">+H36*(1+Assumptions!$O$21)</f>
        <v>358.2156889587</v>
      </c>
      <c r="J36" s="277" t="n">
        <f aca="false">+I36*(1+Assumptions!$O$21)</f>
        <v>368.962159627461</v>
      </c>
      <c r="K36" s="277" t="n">
        <f aca="false">+J36*(1+Assumptions!$O$21)</f>
        <v>380.031024416285</v>
      </c>
      <c r="L36" s="277" t="n">
        <f aca="false">+K36*(1+Assumptions!$O$21)</f>
        <v>391.431955148773</v>
      </c>
      <c r="M36" s="277" t="n">
        <f aca="false">+L36*(1+Assumptions!$O$21)</f>
        <v>403.174913803237</v>
      </c>
      <c r="N36" s="277" t="n">
        <f aca="false">+M36*(1+Assumptions!$O$21)</f>
        <v>415.270161217334</v>
      </c>
      <c r="O36" s="277" t="n">
        <f aca="false">+N36*(1+Assumptions!$O$21)</f>
        <v>427.728266053854</v>
      </c>
      <c r="P36" s="277" t="n">
        <f aca="false">+O36*(1+Assumptions!$O$21)</f>
        <v>440.560114035469</v>
      </c>
      <c r="Q36" s="277" t="n">
        <f aca="false">+P36*(1+Assumptions!$O$21)</f>
        <v>453.776917456533</v>
      </c>
      <c r="R36" s="277" t="n">
        <f aca="false">+Q36*(1+Assumptions!$O$21)</f>
        <v>467.390224980229</v>
      </c>
      <c r="S36" s="277" t="n">
        <f aca="false">+R36*(1+Assumptions!$O$21)</f>
        <v>481.411931729636</v>
      </c>
      <c r="T36" s="277" t="n">
        <f aca="false">+S36*(1+Assumptions!$O$21)</f>
        <v>495.854289681526</v>
      </c>
      <c r="U36" s="277" t="n">
        <f aca="false">+T36*(1+Assumptions!$O$21)</f>
        <v>510.729918371971</v>
      </c>
      <c r="V36" s="277" t="n">
        <f aca="false">+U36*(1+Assumptions!$O$21)</f>
        <v>526.05181592313</v>
      </c>
      <c r="W36" s="277" t="n">
        <f aca="false">+V36*(1+Assumptions!$O$21)</f>
        <v>541.833370400824</v>
      </c>
      <c r="X36" s="277" t="n">
        <f aca="false">+W36*(1+Assumptions!$O$21)</f>
        <v>558.088371512849</v>
      </c>
      <c r="Y36" s="277" t="n">
        <f aca="false">+X36*(1+Assumptions!$O$21)</f>
        <v>574.831022658235</v>
      </c>
      <c r="Z36" s="277" t="n">
        <f aca="false">+Y36*(1+Assumptions!$O$21)</f>
        <v>592.075953337982</v>
      </c>
      <c r="AA36" s="277" t="n">
        <f aca="false">+Z36*(1+Assumptions!$O$21)</f>
        <v>609.838231938121</v>
      </c>
      <c r="AB36" s="277" t="n">
        <f aca="false">+AA36*(1+Assumptions!$O$21)</f>
        <v>628.133378896265</v>
      </c>
      <c r="AC36" s="277" t="n">
        <f aca="false">+AB36*(1+Assumptions!$O$21)</f>
        <v>646.977380263153</v>
      </c>
      <c r="AD36" s="277" t="n">
        <f aca="false">+AC36*(1+Assumptions!$O$21)</f>
        <v>666.386701671047</v>
      </c>
      <c r="AE36" s="277" t="n">
        <f aca="false">+AD36*(1+Assumptions!$O$21)</f>
        <v>686.378302721179</v>
      </c>
      <c r="AF36" s="277" t="n">
        <f aca="false">+AE36*(1+Assumptions!$O$21)</f>
        <v>706.969651802814</v>
      </c>
      <c r="AG36" s="277" t="n">
        <f aca="false">+AF36*(1+Assumptions!$O$21)</f>
        <v>728.178741356898</v>
      </c>
    </row>
    <row r="37" customFormat="false" ht="12.75" hidden="false" customHeight="false" outlineLevel="0" collapsed="false">
      <c r="A37" s="39" t="s">
        <v>174</v>
      </c>
      <c r="C37" s="269" t="n">
        <f aca="false">IF(C8&lt;Assumptions!E54,Assumptions!$B$63*Assumptions!$B$62*(13-MONTH(Assumptions!$B$48))/12," ")</f>
        <v>0</v>
      </c>
      <c r="D37" s="269" t="n">
        <f aca="false">IF(D8&lt;Assumptions!$E$54,Assumptions!$B$63*Assumptions!$B$62,0)</f>
        <v>0</v>
      </c>
      <c r="E37" s="269" t="n">
        <f aca="false">IF(E8&lt;Assumptions!$E$54,Assumptions!$B$63*Assumptions!$B$62,0)</f>
        <v>0</v>
      </c>
      <c r="F37" s="269" t="n">
        <f aca="false">IF(F8&lt;Assumptions!$E$54,Assumptions!$B$63*Assumptions!$B$62,0)</f>
        <v>0</v>
      </c>
      <c r="G37" s="269" t="n">
        <f aca="false">IF(G8&lt;Assumptions!$E$54,Assumptions!$B$63*Assumptions!$B$62,0)</f>
        <v>0</v>
      </c>
      <c r="H37" s="269" t="n">
        <f aca="false">IF(H8&lt;Assumptions!$E$54,Assumptions!$B$63*Assumptions!$B$62,0)</f>
        <v>0</v>
      </c>
      <c r="I37" s="269" t="n">
        <f aca="false">IF(I8&lt;Assumptions!$E$54,Assumptions!$B$63*Assumptions!$B$62,0)</f>
        <v>0</v>
      </c>
      <c r="J37" s="269" t="n">
        <f aca="false">IF(J8&lt;Assumptions!$E$54,Assumptions!$B$63*Assumptions!$B$62,0)</f>
        <v>0</v>
      </c>
      <c r="K37" s="269" t="n">
        <f aca="false">IF(K8&lt;Assumptions!$E$54,Assumptions!$B$63*Assumptions!$B$62,0)</f>
        <v>0</v>
      </c>
      <c r="L37" s="269" t="n">
        <f aca="false">IF(L8&lt;Assumptions!$E$54,Assumptions!$B$63*Assumptions!$B$62,0)</f>
        <v>0</v>
      </c>
      <c r="M37" s="269" t="n">
        <f aca="false">IF(M8&lt;Assumptions!$E$54,Assumptions!$B$63*Assumptions!$B$62,0)</f>
        <v>0</v>
      </c>
      <c r="N37" s="269" t="n">
        <f aca="false">IF(N8&lt;Assumptions!$E$54,Assumptions!$B$63*Assumptions!$B$62,0)</f>
        <v>0</v>
      </c>
      <c r="O37" s="269" t="n">
        <f aca="false">IF(O8&lt;Assumptions!$E$54,Assumptions!$B$63*Assumptions!$B$62,0)</f>
        <v>0</v>
      </c>
      <c r="P37" s="269" t="n">
        <f aca="false">IF(P8&lt;Assumptions!$E$54,Assumptions!$B$63*Assumptions!$B$62,0)</f>
        <v>0</v>
      </c>
      <c r="Q37" s="269" t="n">
        <f aca="false">IF(Q8&lt;Assumptions!$E$54,Assumptions!$B$63*Assumptions!$B$62,0)</f>
        <v>0</v>
      </c>
      <c r="R37" s="269" t="n">
        <f aca="false">IF(R8&lt;Assumptions!$E$54,Assumptions!$B$63*Assumptions!$B$62,0)</f>
        <v>0</v>
      </c>
      <c r="S37" s="269" t="n">
        <f aca="false">IF(S8&lt;Assumptions!$E$54,Assumptions!$B$63*Assumptions!$B$62,0)</f>
        <v>0</v>
      </c>
      <c r="T37" s="269" t="n">
        <f aca="false">IF(T8&lt;Assumptions!$E$54,Assumptions!$B$63*Assumptions!$B$62,0)</f>
        <v>0</v>
      </c>
      <c r="U37" s="269" t="n">
        <f aca="false">IF(U8&lt;Assumptions!$E$54,Assumptions!$B$63*Assumptions!$B$62,0)</f>
        <v>0</v>
      </c>
      <c r="V37" s="269" t="n">
        <f aca="false">IF(V8&lt;Assumptions!$E$54,Assumptions!$B$63*Assumptions!$B$62,0)</f>
        <v>0</v>
      </c>
      <c r="W37" s="269" t="n">
        <f aca="false">IF(W8&lt;Assumptions!$E$54,Assumptions!$B$63*Assumptions!$B$62,0)</f>
        <v>0</v>
      </c>
      <c r="X37" s="269" t="n">
        <f aca="false">IF(X8&lt;Assumptions!$E$54,Assumptions!$B$63*Assumptions!$B$62,0)</f>
        <v>0</v>
      </c>
      <c r="Y37" s="269" t="n">
        <f aca="false">IF(Y8&lt;Assumptions!$E$54,Assumptions!$B$63*Assumptions!$B$62,0)</f>
        <v>0</v>
      </c>
      <c r="Z37" s="269" t="n">
        <f aca="false">IF(Z8&lt;Assumptions!$E$54,Assumptions!$B$63*Assumptions!$B$62,0)</f>
        <v>0</v>
      </c>
      <c r="AA37" s="269" t="n">
        <f aca="false">IF(AA8&lt;Assumptions!$E$54,Assumptions!$B$63*Assumptions!$B$62,0)</f>
        <v>0</v>
      </c>
      <c r="AB37" s="269" t="n">
        <f aca="false">IF(AB8&lt;Assumptions!$E$54,Assumptions!$B$63*Assumptions!$B$62,0)</f>
        <v>0</v>
      </c>
      <c r="AC37" s="269" t="n">
        <f aca="false">IF(AC8&lt;Assumptions!$E$54,Assumptions!$B$63*Assumptions!$B$62,0)</f>
        <v>0</v>
      </c>
      <c r="AD37" s="269" t="n">
        <f aca="false">IF(AD8&lt;Assumptions!$E$54,Assumptions!$B$63*Assumptions!$B$62,0)</f>
        <v>0</v>
      </c>
      <c r="AE37" s="269" t="n">
        <f aca="false">IF(AE8&lt;Assumptions!$E$54,Assumptions!$B$63*Assumptions!$B$62,0)</f>
        <v>0</v>
      </c>
      <c r="AF37" s="269" t="n">
        <f aca="false">IF(AF8&lt;Assumptions!$E$54,Assumptions!$B$63*Assumptions!$B$62,0)</f>
        <v>0</v>
      </c>
      <c r="AG37" s="269" t="n">
        <f aca="false">IF(AG8&lt;Assumptions!$E$54,Assumptions!$B$63*Assumptions!$B$62,0)</f>
        <v>0</v>
      </c>
      <c r="AH37" s="279"/>
      <c r="AI37" s="279"/>
      <c r="AJ37" s="279"/>
      <c r="AK37" s="279"/>
      <c r="AL37" s="279"/>
      <c r="AM37" s="279"/>
      <c r="AN37" s="279"/>
      <c r="AO37" s="279"/>
      <c r="AP37" s="279"/>
      <c r="AQ37" s="279"/>
      <c r="AR37" s="279"/>
      <c r="AS37" s="279"/>
      <c r="AT37" s="279"/>
      <c r="AU37" s="279"/>
    </row>
    <row r="38" customFormat="false" ht="12.75" hidden="false" customHeight="false" outlineLevel="0" collapsed="false">
      <c r="A38" s="39" t="s">
        <v>102</v>
      </c>
      <c r="C38" s="277" t="n">
        <f aca="false">Assumptions!$P$33*Assumptions!$O$12*(1-Assumptions!$I$56)*Assumptions!I19/12</f>
        <v>0</v>
      </c>
      <c r="D38" s="277" t="n">
        <f aca="false">Assumptions!$P$33*Assumptions!$O$12*(1-Assumptions!$I$56)*(1+Assumptions!$O$21)</f>
        <v>0</v>
      </c>
      <c r="E38" s="277" t="n">
        <f aca="false">D38*(1+Assumptions!$O$21)</f>
        <v>0</v>
      </c>
      <c r="F38" s="277" t="n">
        <f aca="false">E38*(1+Assumptions!$O$21)</f>
        <v>0</v>
      </c>
      <c r="G38" s="277" t="n">
        <f aca="false">F38*(1+Assumptions!$O$21)</f>
        <v>0</v>
      </c>
      <c r="H38" s="277" t="n">
        <f aca="false">G38*(1+Assumptions!$O$21)</f>
        <v>0</v>
      </c>
      <c r="I38" s="277" t="n">
        <f aca="false">H38*(1+Assumptions!$O$21)</f>
        <v>0</v>
      </c>
      <c r="J38" s="277" t="n">
        <f aca="false">I38*(1+Assumptions!$O$21)</f>
        <v>0</v>
      </c>
      <c r="K38" s="277" t="n">
        <f aca="false">J38*(1+Assumptions!$O$21)</f>
        <v>0</v>
      </c>
      <c r="L38" s="277" t="n">
        <f aca="false">K38*(1+Assumptions!$O$21)</f>
        <v>0</v>
      </c>
      <c r="M38" s="277" t="n">
        <f aca="false">L38*(1+Assumptions!$O$21)</f>
        <v>0</v>
      </c>
      <c r="N38" s="277" t="n">
        <f aca="false">M38*(1+Assumptions!$O$21)</f>
        <v>0</v>
      </c>
      <c r="O38" s="277" t="n">
        <f aca="false">N38*(1+Assumptions!$O$21)</f>
        <v>0</v>
      </c>
      <c r="P38" s="277" t="n">
        <f aca="false">O38*(1+Assumptions!$O$21)</f>
        <v>0</v>
      </c>
      <c r="Q38" s="277" t="n">
        <f aca="false">P38*(1+Assumptions!$O$21)</f>
        <v>0</v>
      </c>
      <c r="R38" s="277" t="n">
        <f aca="false">Q38*(1+Assumptions!$O$21)</f>
        <v>0</v>
      </c>
      <c r="S38" s="277" t="n">
        <f aca="false">R38*(1+Assumptions!$O$21)</f>
        <v>0</v>
      </c>
      <c r="T38" s="277" t="n">
        <f aca="false">S38*(1+Assumptions!$O$21)</f>
        <v>0</v>
      </c>
      <c r="U38" s="277" t="n">
        <f aca="false">T38*(1+Assumptions!$O$21)</f>
        <v>0</v>
      </c>
      <c r="V38" s="277" t="n">
        <f aca="false">U38*(1+Assumptions!$O$21)</f>
        <v>0</v>
      </c>
      <c r="W38" s="277" t="n">
        <f aca="false">V38*(1+Assumptions!$O$21)</f>
        <v>0</v>
      </c>
      <c r="X38" s="277" t="n">
        <f aca="false">W38*(1+Assumptions!$O$21)</f>
        <v>0</v>
      </c>
      <c r="Y38" s="277" t="n">
        <f aca="false">X38*(1+Assumptions!$O$21)</f>
        <v>0</v>
      </c>
      <c r="Z38" s="277" t="n">
        <f aca="false">Y38*(1+Assumptions!$O$21)</f>
        <v>0</v>
      </c>
      <c r="AA38" s="277" t="n">
        <f aca="false">Z38*(1+Assumptions!$O$21)</f>
        <v>0</v>
      </c>
      <c r="AB38" s="277" t="n">
        <f aca="false">AA38*(1+Assumptions!$O$21)</f>
        <v>0</v>
      </c>
      <c r="AC38" s="277" t="n">
        <f aca="false">AB38*(1+Assumptions!$O$21)</f>
        <v>0</v>
      </c>
      <c r="AD38" s="277" t="n">
        <f aca="false">AC38*(1+Assumptions!$O$21)</f>
        <v>0</v>
      </c>
      <c r="AE38" s="277" t="n">
        <f aca="false">AD38*(1+Assumptions!$O$21)</f>
        <v>0</v>
      </c>
      <c r="AF38" s="277" t="n">
        <f aca="false">AE38*(1+Assumptions!$O$21)</f>
        <v>0</v>
      </c>
      <c r="AG38" s="277" t="n">
        <f aca="false">AF38*(1+Assumptions!$O$21)</f>
        <v>0</v>
      </c>
    </row>
    <row r="39" customFormat="false" ht="12.75" hidden="false" customHeight="false" outlineLevel="0" collapsed="false">
      <c r="A39" s="268" t="s">
        <v>224</v>
      </c>
      <c r="C39" s="277" t="n">
        <f aca="false">Assumptions!$O34*Assumptions!I19/12</f>
        <v>75.6666666666667</v>
      </c>
      <c r="D39" s="277" t="n">
        <f aca="false">Assumptions!$O34*(1+Assumptions!$O$21)</f>
        <v>116.905</v>
      </c>
      <c r="E39" s="277" t="n">
        <f aca="false">D39*(1+Assumptions!$O$21)</f>
        <v>120.41215</v>
      </c>
      <c r="F39" s="277" t="n">
        <f aca="false">E39*(1+Assumptions!$O$21)</f>
        <v>124.0245145</v>
      </c>
      <c r="G39" s="277" t="n">
        <f aca="false">F39*(1+Assumptions!$O$21)</f>
        <v>127.745249935</v>
      </c>
      <c r="H39" s="277" t="n">
        <f aca="false">G39*(1+Assumptions!$O$21)</f>
        <v>131.57760743305</v>
      </c>
      <c r="I39" s="277" t="n">
        <f aca="false">H39*(1+Assumptions!$O$21)</f>
        <v>135.524935656042</v>
      </c>
      <c r="J39" s="277" t="n">
        <f aca="false">I39*(1+Assumptions!$O$21)</f>
        <v>139.590683725723</v>
      </c>
      <c r="K39" s="277" t="n">
        <f aca="false">J39*(1+Assumptions!$O$21)</f>
        <v>143.778404237494</v>
      </c>
      <c r="L39" s="277" t="n">
        <f aca="false">K39*(1+Assumptions!$O$21)</f>
        <v>148.091756364619</v>
      </c>
      <c r="M39" s="277" t="n">
        <f aca="false">L39*(1+Assumptions!$O$21)</f>
        <v>152.534509055558</v>
      </c>
      <c r="N39" s="277" t="n">
        <f aca="false">M39*(1+Assumptions!$O$21)</f>
        <v>157.110544327225</v>
      </c>
      <c r="O39" s="277" t="n">
        <f aca="false">N39*(1+Assumptions!$O$21)</f>
        <v>161.823860657041</v>
      </c>
      <c r="P39" s="277" t="n">
        <f aca="false">O39*(1+Assumptions!$O$21)</f>
        <v>166.678576476753</v>
      </c>
      <c r="Q39" s="277" t="n">
        <f aca="false">P39*(1+Assumptions!$O$21)</f>
        <v>171.678933771055</v>
      </c>
      <c r="R39" s="277" t="n">
        <f aca="false">Q39*(1+Assumptions!$O$21)</f>
        <v>176.829301784187</v>
      </c>
      <c r="S39" s="277" t="n">
        <f aca="false">R39*(1+Assumptions!$O$21)</f>
        <v>182.134180837712</v>
      </c>
      <c r="T39" s="277" t="n">
        <f aca="false">S39*(1+Assumptions!$O$21)</f>
        <v>187.598206262844</v>
      </c>
      <c r="U39" s="277" t="n">
        <f aca="false">T39*(1+Assumptions!$O$21)</f>
        <v>193.226152450729</v>
      </c>
      <c r="V39" s="277" t="n">
        <f aca="false">U39*(1+Assumptions!$O$21)</f>
        <v>199.022937024251</v>
      </c>
      <c r="W39" s="277" t="n">
        <f aca="false">V39*(1+Assumptions!$O$21)</f>
        <v>204.993625134979</v>
      </c>
      <c r="X39" s="277" t="n">
        <f aca="false">W39*(1+Assumptions!$O$21)</f>
        <v>211.143433889028</v>
      </c>
      <c r="Y39" s="277" t="n">
        <f aca="false">X39*(1+Assumptions!$O$21)</f>
        <v>217.477736905699</v>
      </c>
      <c r="Z39" s="277" t="n">
        <f aca="false">Y39*(1+Assumptions!$O$21)</f>
        <v>224.00206901287</v>
      </c>
      <c r="AA39" s="277" t="n">
        <f aca="false">Z39*(1+Assumptions!$O$21)</f>
        <v>230.722131083256</v>
      </c>
      <c r="AB39" s="277" t="n">
        <f aca="false">AA39*(1+Assumptions!$O$21)</f>
        <v>237.643795015754</v>
      </c>
      <c r="AC39" s="277" t="n">
        <f aca="false">AB39*(1+Assumptions!$O$21)</f>
        <v>244.773108866226</v>
      </c>
      <c r="AD39" s="277" t="n">
        <f aca="false">AC39*(1+Assumptions!$O$21)</f>
        <v>252.116302132213</v>
      </c>
      <c r="AE39" s="277" t="n">
        <f aca="false">AD39*(1+Assumptions!$O$21)</f>
        <v>259.679791196179</v>
      </c>
      <c r="AF39" s="277" t="n">
        <f aca="false">AE39*(1+Assumptions!$O$21)</f>
        <v>267.470184932065</v>
      </c>
      <c r="AG39" s="277" t="n">
        <f aca="false">AF39*(1+Assumptions!$O$21)</f>
        <v>275.494290480027</v>
      </c>
    </row>
    <row r="40" customFormat="false" ht="12.75" hidden="false" customHeight="false" outlineLevel="0" collapsed="false">
      <c r="A40" s="268" t="s">
        <v>225</v>
      </c>
      <c r="C40" s="280" t="n">
        <f aca="false">Assumptions!$O35*Assumptions!I19/12</f>
        <v>66.6666666666667</v>
      </c>
      <c r="D40" s="280" t="n">
        <f aca="false">Assumptions!$O35*(1+Assumptions!$O$21)</f>
        <v>103</v>
      </c>
      <c r="E40" s="280" t="n">
        <f aca="false">D40*(1+Assumptions!$O$21)</f>
        <v>106.09</v>
      </c>
      <c r="F40" s="280" t="n">
        <f aca="false">E40*(1+Assumptions!$O$21)</f>
        <v>109.2727</v>
      </c>
      <c r="G40" s="280" t="n">
        <f aca="false">F40*(1+Assumptions!$O$21)</f>
        <v>112.550881</v>
      </c>
      <c r="H40" s="280" t="n">
        <f aca="false">G40*(1+Assumptions!$O$21)</f>
        <v>115.92740743</v>
      </c>
      <c r="I40" s="280" t="n">
        <f aca="false">H40*(1+Assumptions!$O$21)</f>
        <v>119.4052296529</v>
      </c>
      <c r="J40" s="280" t="n">
        <f aca="false">I40*(1+Assumptions!$O$21)</f>
        <v>122.987386542487</v>
      </c>
      <c r="K40" s="280" t="n">
        <f aca="false">J40*(1+Assumptions!$O$21)</f>
        <v>126.677008138762</v>
      </c>
      <c r="L40" s="280" t="n">
        <f aca="false">K40*(1+Assumptions!$O$21)</f>
        <v>130.477318382924</v>
      </c>
      <c r="M40" s="280" t="n">
        <f aca="false">L40*(1+Assumptions!$O$21)</f>
        <v>134.391637934412</v>
      </c>
      <c r="N40" s="280" t="n">
        <f aca="false">M40*(1+Assumptions!$O$21)</f>
        <v>138.423387072445</v>
      </c>
      <c r="O40" s="280" t="n">
        <f aca="false">N40*(1+Assumptions!$O$21)</f>
        <v>142.576088684618</v>
      </c>
      <c r="P40" s="280" t="n">
        <f aca="false">O40*(1+Assumptions!$O$21)</f>
        <v>146.853371345156</v>
      </c>
      <c r="Q40" s="280" t="n">
        <f aca="false">P40*(1+Assumptions!$O$21)</f>
        <v>151.258972485511</v>
      </c>
      <c r="R40" s="280" t="n">
        <f aca="false">Q40*(1+Assumptions!$O$21)</f>
        <v>155.796741660077</v>
      </c>
      <c r="S40" s="280" t="n">
        <f aca="false">R40*(1+Assumptions!$O$21)</f>
        <v>160.470643909879</v>
      </c>
      <c r="T40" s="280" t="n">
        <f aca="false">S40*(1+Assumptions!$O$21)</f>
        <v>165.284763227175</v>
      </c>
      <c r="U40" s="280" t="n">
        <f aca="false">T40*(1+Assumptions!$O$21)</f>
        <v>170.24330612399</v>
      </c>
      <c r="V40" s="280" t="n">
        <f aca="false">U40*(1+Assumptions!$O$21)</f>
        <v>175.35060530771</v>
      </c>
      <c r="W40" s="280" t="n">
        <f aca="false">V40*(1+Assumptions!$O$21)</f>
        <v>180.611123466941</v>
      </c>
      <c r="X40" s="280" t="n">
        <f aca="false">W40*(1+Assumptions!$O$21)</f>
        <v>186.02945717095</v>
      </c>
      <c r="Y40" s="280" t="n">
        <f aca="false">X40*(1+Assumptions!$O$21)</f>
        <v>191.610340886078</v>
      </c>
      <c r="Z40" s="280" t="n">
        <f aca="false">Y40*(1+Assumptions!$O$21)</f>
        <v>197.358651112661</v>
      </c>
      <c r="AA40" s="280" t="n">
        <f aca="false">Z40*(1+Assumptions!$O$21)</f>
        <v>203.27941064604</v>
      </c>
      <c r="AB40" s="280" t="n">
        <f aca="false">AA40*(1+Assumptions!$O$21)</f>
        <v>209.377792965422</v>
      </c>
      <c r="AC40" s="280" t="n">
        <f aca="false">AB40*(1+Assumptions!$O$21)</f>
        <v>215.659126754384</v>
      </c>
      <c r="AD40" s="280" t="n">
        <f aca="false">AC40*(1+Assumptions!$O$21)</f>
        <v>222.128900557016</v>
      </c>
      <c r="AE40" s="280" t="n">
        <f aca="false">AD40*(1+Assumptions!$O$21)</f>
        <v>228.792767573726</v>
      </c>
      <c r="AF40" s="280" t="n">
        <f aca="false">AE40*(1+Assumptions!$O$21)</f>
        <v>235.656550600938</v>
      </c>
      <c r="AG40" s="280" t="n">
        <f aca="false">AF40*(1+Assumptions!$O$21)</f>
        <v>242.726247118966</v>
      </c>
    </row>
    <row r="41" customFormat="false" ht="12.75" hidden="false" customHeight="false" outlineLevel="0" collapsed="false">
      <c r="A41" s="268" t="s">
        <v>226</v>
      </c>
      <c r="C41" s="281" t="n">
        <f aca="false">SUM(C29:C40)</f>
        <v>5556.391456</v>
      </c>
      <c r="D41" s="281" t="n">
        <f aca="false">SUM(D29:D40)</f>
        <v>5920.3058112</v>
      </c>
      <c r="E41" s="281" t="n">
        <f aca="false">SUM(E29:E40)</f>
        <v>5970.172597056</v>
      </c>
      <c r="F41" s="281" t="n">
        <f aca="false">SUM(F29:F40)</f>
        <v>6021.53538648768</v>
      </c>
      <c r="G41" s="281" t="n">
        <f aca="false">SUM(G29:G40)</f>
        <v>6074.43905960231</v>
      </c>
      <c r="H41" s="281" t="n">
        <f aca="false">SUM(H29:H40)</f>
        <v>6128.92984291038</v>
      </c>
      <c r="I41" s="281" t="n">
        <f aca="false">SUM(I29:I40)</f>
        <v>6185.05534971769</v>
      </c>
      <c r="J41" s="281" t="n">
        <f aca="false">SUM(J29:J40)</f>
        <v>6242.86462172922</v>
      </c>
      <c r="K41" s="281" t="n">
        <f aca="false">SUM(K29:K40)</f>
        <v>6302.4081719011</v>
      </c>
      <c r="L41" s="281" t="n">
        <f aca="false">SUM(L29:L40)</f>
        <v>6363.73802857813</v>
      </c>
      <c r="M41" s="281" t="n">
        <f aca="false">SUM(M29:M40)</f>
        <v>6426.90778095548</v>
      </c>
      <c r="N41" s="281" t="n">
        <f aca="false">SUM(N29:N40)</f>
        <v>6491.97262590414</v>
      </c>
      <c r="O41" s="281" t="n">
        <f aca="false">SUM(O29:O40)</f>
        <v>6558.98941620127</v>
      </c>
      <c r="P41" s="281" t="n">
        <f aca="false">SUM(P29:P40)</f>
        <v>6628.0167102073</v>
      </c>
      <c r="Q41" s="281" t="n">
        <f aca="false">SUM(Q29:Q40)</f>
        <v>6699.11482303352</v>
      </c>
      <c r="R41" s="281" t="n">
        <f aca="false">SUM(R29:R40)</f>
        <v>6772.34587924453</v>
      </c>
      <c r="S41" s="281" t="n">
        <f aca="false">SUM(S29:S40)</f>
        <v>6847.77386714186</v>
      </c>
      <c r="T41" s="281" t="n">
        <f aca="false">SUM(T29:T40)</f>
        <v>6925.46469467612</v>
      </c>
      <c r="U41" s="281" t="n">
        <f aca="false">SUM(U29:U40)</f>
        <v>7005.4862470364</v>
      </c>
      <c r="V41" s="281" t="n">
        <f aca="false">SUM(V29:V40)</f>
        <v>7087.90844596749</v>
      </c>
      <c r="W41" s="281" t="n">
        <f aca="false">SUM(W29:W40)</f>
        <v>7172.80331086652</v>
      </c>
      <c r="X41" s="281" t="n">
        <f aca="false">SUM(X29:X40)</f>
        <v>7260.24502171252</v>
      </c>
      <c r="Y41" s="281" t="n">
        <f aca="false">SUM(Y29:Y40)</f>
        <v>7350.30998388389</v>
      </c>
      <c r="Z41" s="281" t="n">
        <f aca="false">SUM(Z29:Z40)</f>
        <v>7443.07689492041</v>
      </c>
      <c r="AA41" s="281" t="n">
        <f aca="false">SUM(AA29:AA40)</f>
        <v>7538.62681328802</v>
      </c>
      <c r="AB41" s="281" t="n">
        <f aca="false">SUM(AB29:AB40)</f>
        <v>7637.04322920666</v>
      </c>
      <c r="AC41" s="281" t="n">
        <f aca="false">SUM(AC29:AC40)</f>
        <v>7738.41213760286</v>
      </c>
      <c r="AD41" s="281" t="n">
        <f aca="false">SUM(AD29:AD40)</f>
        <v>7842.82211325095</v>
      </c>
      <c r="AE41" s="281" t="n">
        <f aca="false">SUM(AE29:AE40)</f>
        <v>7950.36438816848</v>
      </c>
      <c r="AF41" s="281" t="n">
        <f aca="false">SUM(AF29:AF40)</f>
        <v>8061.13293133353</v>
      </c>
      <c r="AG41" s="281" t="n">
        <f aca="false">SUM(AG29:AG40)</f>
        <v>8175.22453079354</v>
      </c>
    </row>
    <row r="42" customFormat="false" ht="12.75" hidden="false" customHeight="false" outlineLevel="0" collapsed="false">
      <c r="A42" s="282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3"/>
      <c r="O42" s="283"/>
      <c r="P42" s="283"/>
      <c r="Q42" s="283"/>
      <c r="R42" s="283"/>
      <c r="S42" s="283"/>
      <c r="T42" s="283"/>
      <c r="U42" s="283"/>
      <c r="V42" s="283"/>
      <c r="W42" s="283"/>
      <c r="X42" s="283"/>
      <c r="Y42" s="283"/>
      <c r="Z42" s="283"/>
      <c r="AA42" s="283"/>
      <c r="AB42" s="283"/>
      <c r="AC42" s="283"/>
      <c r="AD42" s="283"/>
      <c r="AE42" s="283"/>
      <c r="AF42" s="283"/>
      <c r="AG42" s="283"/>
    </row>
    <row r="43" customFormat="false" ht="12.75" hidden="false" customHeight="false" outlineLevel="0" collapsed="false">
      <c r="A43" s="265" t="s">
        <v>227</v>
      </c>
      <c r="C43" s="284" t="n">
        <f aca="false">C26-C41</f>
        <v>6308.38152</v>
      </c>
      <c r="D43" s="284" t="n">
        <f aca="false">D26-D41</f>
        <v>9746.9239656</v>
      </c>
      <c r="E43" s="284" t="n">
        <f aca="false">E26-E41</f>
        <v>3993.515684568</v>
      </c>
      <c r="F43" s="284" t="n">
        <f aca="false">F26-F41</f>
        <v>10745.9789633645</v>
      </c>
      <c r="G43" s="284" t="n">
        <f aca="false">G26-G41</f>
        <v>11194.0044631072</v>
      </c>
      <c r="H43" s="284" t="n">
        <f aca="false">H26-H41</f>
        <v>11302.6744879844</v>
      </c>
      <c r="I43" s="284" t="n">
        <f aca="false">I26-I41</f>
        <v>11407.7942169293</v>
      </c>
      <c r="J43" s="284" t="n">
        <f aca="false">J26-J41</f>
        <v>11509.0528291638</v>
      </c>
      <c r="K43" s="284" t="n">
        <f aca="false">K26-K41</f>
        <v>11854.1875276387</v>
      </c>
      <c r="L43" s="284" t="n">
        <f aca="false">L26-L41</f>
        <v>11954.1708850269</v>
      </c>
      <c r="M43" s="284" t="n">
        <f aca="false">M26-M41</f>
        <v>12312.6591251778</v>
      </c>
      <c r="N43" s="284" t="n">
        <f aca="false">N26-N41</f>
        <v>12410.8363527259</v>
      </c>
      <c r="O43" s="284" t="n">
        <f aca="false">O26-O41</f>
        <v>12783.0245569077</v>
      </c>
      <c r="P43" s="284" t="n">
        <f aca="false">P26-P41</f>
        <v>12878.8048487254</v>
      </c>
      <c r="Q43" s="284" t="n">
        <f aca="false">Q26-Q41</f>
        <v>12968.8313425431</v>
      </c>
      <c r="R43" s="284" t="n">
        <f aca="false">R26-R41</f>
        <v>13052.6726082179</v>
      </c>
      <c r="S43" s="284" t="n">
        <f aca="false">S26-S41</f>
        <v>13129.8765082169</v>
      </c>
      <c r="T43" s="284" t="n">
        <f aca="false">T26-T41</f>
        <v>13199.9693434605</v>
      </c>
      <c r="U43" s="284" t="n">
        <f aca="false">U26-U41</f>
        <v>13262.4549665533</v>
      </c>
      <c r="V43" s="284" t="n">
        <f aca="false">V26-V41</f>
        <v>13316.8138612146</v>
      </c>
      <c r="W43" s="284" t="n">
        <f aca="false">W26-W41</f>
        <v>13362.5021866776</v>
      </c>
      <c r="X43" s="284" t="n">
        <f aca="false">X26-X41</f>
        <v>13398.9507857853</v>
      </c>
      <c r="Y43" s="284" t="n">
        <f aca="false">Y26-Y41</f>
        <v>13432.7792112245</v>
      </c>
      <c r="Z43" s="284" t="n">
        <f aca="false">Z26-Z41</f>
        <v>13463.9088577852</v>
      </c>
      <c r="AA43" s="284" t="n">
        <f aca="false">AA26-AA41</f>
        <v>13492.258762101</v>
      </c>
      <c r="AB43" s="284" t="n">
        <f aca="false">AB26-AB41</f>
        <v>13517.7455319045</v>
      </c>
      <c r="AC43" s="284" t="n">
        <f aca="false">AC26-AC41</f>
        <v>13540.2832731604</v>
      </c>
      <c r="AD43" s="284" t="n">
        <f aca="false">AD26-AD41</f>
        <v>13559.7835150123</v>
      </c>
      <c r="AE43" s="284" t="n">
        <f aca="false">AE26-AE41</f>
        <v>13576.155132478</v>
      </c>
      <c r="AF43" s="284" t="n">
        <f aca="false">AF26-AF41</f>
        <v>13589.304266826</v>
      </c>
      <c r="AG43" s="284" t="n">
        <f aca="false">AG26-AG41</f>
        <v>13599.1342435627</v>
      </c>
    </row>
    <row r="44" customFormat="false" ht="12.75" hidden="false" customHeight="false" outlineLevel="0" collapsed="false">
      <c r="A44" s="265"/>
      <c r="C44" s="283"/>
      <c r="D44" s="283"/>
      <c r="E44" s="283"/>
      <c r="F44" s="283"/>
      <c r="G44" s="283"/>
      <c r="H44" s="283"/>
      <c r="I44" s="283"/>
      <c r="J44" s="283"/>
      <c r="K44" s="283"/>
      <c r="L44" s="283"/>
      <c r="M44" s="283"/>
      <c r="N44" s="283"/>
      <c r="O44" s="283"/>
      <c r="P44" s="283"/>
      <c r="Q44" s="283"/>
      <c r="R44" s="283"/>
      <c r="S44" s="283"/>
      <c r="T44" s="283"/>
      <c r="U44" s="283"/>
      <c r="V44" s="283"/>
      <c r="W44" s="283"/>
      <c r="X44" s="283"/>
      <c r="Y44" s="283"/>
      <c r="Z44" s="283"/>
      <c r="AA44" s="283"/>
      <c r="AB44" s="283"/>
      <c r="AC44" s="283"/>
      <c r="AD44" s="283"/>
      <c r="AE44" s="283"/>
      <c r="AF44" s="283"/>
      <c r="AG44" s="283"/>
    </row>
    <row r="45" customFormat="false" ht="12.75" hidden="false" customHeight="false" outlineLevel="0" collapsed="false">
      <c r="A45" s="268" t="s">
        <v>228</v>
      </c>
      <c r="C45" s="266" t="n">
        <f aca="false">Depreciation!D43</f>
        <v>2559.67333333333</v>
      </c>
      <c r="D45" s="266" t="n">
        <f aca="false">Depreciation!E43</f>
        <v>5483.165</v>
      </c>
      <c r="E45" s="266" t="n">
        <f aca="false">Depreciation!F43</f>
        <v>5483.165</v>
      </c>
      <c r="F45" s="266" t="n">
        <f aca="false">Depreciation!G43</f>
        <v>5483.165</v>
      </c>
      <c r="G45" s="266" t="n">
        <f aca="false">Depreciation!H43</f>
        <v>5483.165</v>
      </c>
      <c r="H45" s="266" t="n">
        <f aca="false">Depreciation!I43</f>
        <v>5483.165</v>
      </c>
      <c r="I45" s="266" t="n">
        <f aca="false">Depreciation!J43</f>
        <v>5483.165</v>
      </c>
      <c r="J45" s="266" t="n">
        <f aca="false">Depreciation!K43</f>
        <v>5483.165</v>
      </c>
      <c r="K45" s="266" t="n">
        <f aca="false">Depreciation!L43</f>
        <v>5483.165</v>
      </c>
      <c r="L45" s="266" t="n">
        <f aca="false">Depreciation!M43</f>
        <v>5483.165</v>
      </c>
      <c r="M45" s="266" t="n">
        <f aca="false">Depreciation!N43</f>
        <v>5483.165</v>
      </c>
      <c r="N45" s="266" t="n">
        <f aca="false">Depreciation!O43</f>
        <v>5483.165</v>
      </c>
      <c r="O45" s="266" t="n">
        <f aca="false">Depreciation!P43</f>
        <v>5483.165</v>
      </c>
      <c r="P45" s="266" t="n">
        <f aca="false">Depreciation!Q43</f>
        <v>5483.165</v>
      </c>
      <c r="Q45" s="266" t="n">
        <f aca="false">Depreciation!R43</f>
        <v>5483.165</v>
      </c>
      <c r="R45" s="266" t="n">
        <f aca="false">Depreciation!S43</f>
        <v>5483.165</v>
      </c>
      <c r="S45" s="266" t="n">
        <f aca="false">Depreciation!T43</f>
        <v>5483.165</v>
      </c>
      <c r="T45" s="266" t="n">
        <f aca="false">Depreciation!U43</f>
        <v>5483.165</v>
      </c>
      <c r="U45" s="266" t="n">
        <f aca="false">Depreciation!V43</f>
        <v>5483.165</v>
      </c>
      <c r="V45" s="266" t="n">
        <f aca="false">Depreciation!W43</f>
        <v>5483.165</v>
      </c>
      <c r="W45" s="266" t="n">
        <f aca="false">Depreciation!X43</f>
        <v>5115.03166666667</v>
      </c>
      <c r="X45" s="266" t="n">
        <f aca="false">Depreciation!Y43</f>
        <v>4930.965</v>
      </c>
      <c r="Y45" s="266" t="n">
        <f aca="false">Depreciation!Z43</f>
        <v>4930.965</v>
      </c>
      <c r="Z45" s="266" t="n">
        <f aca="false">Depreciation!AA43</f>
        <v>4930.965</v>
      </c>
      <c r="AA45" s="266" t="n">
        <f aca="false">Depreciation!AB43</f>
        <v>4930.965</v>
      </c>
      <c r="AB45" s="266" t="n">
        <f aca="false">Depreciation!AC43</f>
        <v>4930.965</v>
      </c>
      <c r="AC45" s="266" t="n">
        <f aca="false">Depreciation!AD43</f>
        <v>4930.965</v>
      </c>
      <c r="AD45" s="266" t="n">
        <f aca="false">Depreciation!AE43</f>
        <v>4930.965</v>
      </c>
      <c r="AE45" s="266" t="n">
        <f aca="false">Depreciation!AF43</f>
        <v>4930.965</v>
      </c>
      <c r="AF45" s="266" t="n">
        <f aca="false">Depreciation!AG43</f>
        <v>4930.965</v>
      </c>
      <c r="AG45" s="266" t="n">
        <f aca="false">Depreciation!AH43</f>
        <v>0</v>
      </c>
    </row>
    <row r="46" customFormat="false" ht="12.75" hidden="false" customHeight="false" outlineLevel="0" collapsed="false">
      <c r="A46" s="268"/>
      <c r="C46" s="266"/>
      <c r="D46" s="266"/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  <c r="P46" s="266"/>
      <c r="Q46" s="266"/>
      <c r="R46" s="266"/>
      <c r="S46" s="266"/>
      <c r="T46" s="266"/>
      <c r="U46" s="266"/>
      <c r="V46" s="266"/>
      <c r="W46" s="266"/>
      <c r="X46" s="266"/>
      <c r="Y46" s="266"/>
      <c r="Z46" s="266"/>
      <c r="AA46" s="266"/>
      <c r="AB46" s="266"/>
      <c r="AC46" s="266"/>
      <c r="AD46" s="266"/>
      <c r="AE46" s="266"/>
      <c r="AF46" s="266"/>
      <c r="AG46" s="266"/>
    </row>
    <row r="47" customFormat="false" ht="12.75" hidden="false" customHeight="false" outlineLevel="0" collapsed="false">
      <c r="A47" s="265" t="s">
        <v>229</v>
      </c>
      <c r="C47" s="284" t="n">
        <f aca="false">C43-C45</f>
        <v>3748.70818666667</v>
      </c>
      <c r="D47" s="284" t="n">
        <f aca="false">D43-D45</f>
        <v>4263.7589656</v>
      </c>
      <c r="E47" s="284" t="n">
        <f aca="false">E43-E45</f>
        <v>-1489.649315432</v>
      </c>
      <c r="F47" s="284" t="n">
        <f aca="false">F43-F45</f>
        <v>5262.81396336451</v>
      </c>
      <c r="G47" s="284" t="n">
        <f aca="false">G43-G45</f>
        <v>5710.83946310723</v>
      </c>
      <c r="H47" s="284" t="n">
        <f aca="false">H43-H45</f>
        <v>5819.50948798436</v>
      </c>
      <c r="I47" s="284" t="n">
        <f aca="false">I43-I45</f>
        <v>5924.62921692931</v>
      </c>
      <c r="J47" s="284" t="n">
        <f aca="false">J43-J45</f>
        <v>6025.88782916378</v>
      </c>
      <c r="K47" s="284" t="n">
        <f aca="false">K43-K45</f>
        <v>6371.02252763869</v>
      </c>
      <c r="L47" s="284" t="n">
        <f aca="false">L43-L45</f>
        <v>6471.00588502695</v>
      </c>
      <c r="M47" s="284" t="n">
        <f aca="false">M43-M45</f>
        <v>6829.49412517775</v>
      </c>
      <c r="N47" s="284" t="n">
        <f aca="false">N43-N45</f>
        <v>6927.67135272589</v>
      </c>
      <c r="O47" s="284" t="n">
        <f aca="false">O43-O45</f>
        <v>7299.85955690767</v>
      </c>
      <c r="P47" s="284" t="n">
        <f aca="false">P43-P45</f>
        <v>7395.63984872545</v>
      </c>
      <c r="Q47" s="284" t="n">
        <f aca="false">Q43-Q45</f>
        <v>7485.66634254307</v>
      </c>
      <c r="R47" s="284" t="n">
        <f aca="false">R43-R45</f>
        <v>7569.5076082179</v>
      </c>
      <c r="S47" s="284" t="n">
        <f aca="false">S43-S45</f>
        <v>7646.71150821693</v>
      </c>
      <c r="T47" s="284" t="n">
        <f aca="false">T43-T45</f>
        <v>7716.80434346051</v>
      </c>
      <c r="U47" s="284" t="n">
        <f aca="false">U43-U45</f>
        <v>7779.28996655331</v>
      </c>
      <c r="V47" s="284" t="n">
        <f aca="false">V43-V45</f>
        <v>7833.64886121455</v>
      </c>
      <c r="W47" s="284" t="n">
        <f aca="false">W43-W45</f>
        <v>8247.47052001092</v>
      </c>
      <c r="X47" s="284" t="n">
        <f aca="false">X43-X45</f>
        <v>8467.9857857853</v>
      </c>
      <c r="Y47" s="284" t="n">
        <f aca="false">Y43-Y45</f>
        <v>8501.81421122452</v>
      </c>
      <c r="Z47" s="284" t="n">
        <f aca="false">Z43-Z45</f>
        <v>8532.94385778521</v>
      </c>
      <c r="AA47" s="284" t="n">
        <f aca="false">AA43-AA45</f>
        <v>8561.29376210099</v>
      </c>
      <c r="AB47" s="284" t="n">
        <f aca="false">AB43-AB45</f>
        <v>8586.78053190452</v>
      </c>
      <c r="AC47" s="284" t="n">
        <f aca="false">AC43-AC45</f>
        <v>8609.31827316044</v>
      </c>
      <c r="AD47" s="284" t="n">
        <f aca="false">AD43-AD45</f>
        <v>8628.81851501233</v>
      </c>
      <c r="AE47" s="284" t="n">
        <f aca="false">AE43-AE45</f>
        <v>8645.19013247803</v>
      </c>
      <c r="AF47" s="284" t="n">
        <f aca="false">AF43-AF45</f>
        <v>8658.33926682599</v>
      </c>
      <c r="AG47" s="284" t="n">
        <f aca="false">AG43-AG45</f>
        <v>13599.1342435627</v>
      </c>
    </row>
    <row r="48" customFormat="false" ht="12.75" hidden="false" customHeight="false" outlineLevel="0" collapsed="false">
      <c r="A48" s="265"/>
      <c r="C48" s="284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  <c r="AA48" s="284"/>
      <c r="AB48" s="284"/>
      <c r="AC48" s="284"/>
      <c r="AD48" s="284"/>
      <c r="AE48" s="284"/>
      <c r="AF48" s="284"/>
      <c r="AG48" s="284"/>
    </row>
    <row r="49" customFormat="false" ht="12.75" hidden="false" customHeight="false" outlineLevel="0" collapsed="false">
      <c r="A49" s="268" t="s">
        <v>230</v>
      </c>
      <c r="C49" s="266" t="n">
        <f aca="false">SUM(Debt!B86)</f>
        <v>3879.95476338612</v>
      </c>
      <c r="D49" s="266" t="n">
        <f aca="false">SUM(Debt!C86)</f>
        <v>7371.91405043362</v>
      </c>
      <c r="E49" s="266" t="n">
        <f aca="false">SUM(Debt!D86)</f>
        <v>7061.51766936273</v>
      </c>
      <c r="F49" s="266" t="n">
        <f aca="false">SUM(Debt!E86)</f>
        <v>6751.12128829184</v>
      </c>
      <c r="G49" s="266" t="n">
        <f aca="false">SUM(Debt!F86)</f>
        <v>6440.72490722095</v>
      </c>
      <c r="H49" s="266" t="n">
        <f aca="false">SUM(Debt!G86)</f>
        <v>6130.32852615006</v>
      </c>
      <c r="I49" s="266" t="n">
        <f aca="false">SUM(Debt!H86)</f>
        <v>5819.93214507917</v>
      </c>
      <c r="J49" s="266" t="n">
        <f aca="false">SUM(Debt!I86)</f>
        <v>5509.53576400828</v>
      </c>
      <c r="K49" s="266" t="n">
        <f aca="false">SUM(Debt!J86)</f>
        <v>5199.1393829374</v>
      </c>
      <c r="L49" s="266" t="n">
        <f aca="false">SUM(Debt!K86)</f>
        <v>4888.74300186651</v>
      </c>
      <c r="M49" s="266" t="n">
        <f aca="false">SUM(Debt!L86)</f>
        <v>4578.34662079562</v>
      </c>
      <c r="N49" s="266" t="n">
        <f aca="false">SUM(Debt!M86)</f>
        <v>4267.95023972473</v>
      </c>
      <c r="O49" s="266" t="n">
        <f aca="false">SUM(Debt!N86)</f>
        <v>3957.55385865384</v>
      </c>
      <c r="P49" s="266" t="n">
        <f aca="false">SUM(Debt!O86)</f>
        <v>3647.15747758295</v>
      </c>
      <c r="Q49" s="266" t="n">
        <f aca="false">SUM(Debt!P86)</f>
        <v>3336.76109651206</v>
      </c>
      <c r="R49" s="266" t="n">
        <f aca="false">SUM(Debt!Q86)</f>
        <v>3026.36471544117</v>
      </c>
      <c r="S49" s="266" t="n">
        <f aca="false">SUM(Debt!R86)</f>
        <v>2715.96833437028</v>
      </c>
      <c r="T49" s="266" t="n">
        <f aca="false">SUM(Debt!S86)</f>
        <v>2405.57195329939</v>
      </c>
      <c r="U49" s="266" t="n">
        <f aca="false">SUM(Debt!T86)</f>
        <v>2095.1755722285</v>
      </c>
      <c r="V49" s="266" t="n">
        <f aca="false">SUM(Debt!U86)</f>
        <v>1784.77919115761</v>
      </c>
      <c r="W49" s="266" t="n">
        <f aca="false">SUM(Debt!V86)</f>
        <v>1474.38281008672</v>
      </c>
      <c r="X49" s="266" t="n">
        <f aca="false">SUM(Debt!W86)</f>
        <v>1241.58552428355</v>
      </c>
      <c r="Y49" s="266" t="n">
        <f aca="false">SUM(Debt!X86)</f>
        <v>1241.58552428355</v>
      </c>
      <c r="Z49" s="266" t="n">
        <f aca="false">SUM(Debt!Y86)</f>
        <v>1241.58552428355</v>
      </c>
      <c r="AA49" s="266" t="n">
        <f aca="false">SUM(Debt!Z86)</f>
        <v>1241.58552428355</v>
      </c>
      <c r="AB49" s="266" t="n">
        <f aca="false">SUM(Debt!AA86)</f>
        <v>1241.58552428355</v>
      </c>
      <c r="AC49" s="266" t="n">
        <f aca="false">SUM(Debt!AB86)</f>
        <v>1241.58552428355</v>
      </c>
      <c r="AD49" s="266" t="n">
        <f aca="false">SUM(Debt!AC86)</f>
        <v>1241.58552428355</v>
      </c>
      <c r="AE49" s="266" t="n">
        <f aca="false">SUM(Debt!AD86)</f>
        <v>1241.58552428355</v>
      </c>
      <c r="AF49" s="266" t="n">
        <f aca="false">SUM(Debt!AE86)</f>
        <v>1241.58552428355</v>
      </c>
      <c r="AG49" s="266" t="n">
        <f aca="false">SUM(Debt!AF86)</f>
        <v>1241.58552428355</v>
      </c>
    </row>
    <row r="50" customFormat="false" ht="12.75" hidden="false" customHeight="false" outlineLevel="0" collapsed="false">
      <c r="A50" s="80"/>
      <c r="C50" s="266"/>
      <c r="D50" s="266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</row>
    <row r="51" customFormat="false" ht="12.75" hidden="false" customHeight="false" outlineLevel="0" collapsed="false">
      <c r="A51" s="265" t="s">
        <v>231</v>
      </c>
      <c r="C51" s="284" t="n">
        <f aca="false">C47-C49</f>
        <v>-131.246576719451</v>
      </c>
      <c r="D51" s="284" t="n">
        <f aca="false">D47-D49</f>
        <v>-3108.15508483362</v>
      </c>
      <c r="E51" s="284" t="n">
        <f aca="false">E47-E49</f>
        <v>-8551.16698479473</v>
      </c>
      <c r="F51" s="284" t="n">
        <f aca="false">F47-F49</f>
        <v>-1488.30732492734</v>
      </c>
      <c r="G51" s="284" t="n">
        <f aca="false">G47-G49</f>
        <v>-729.88544411372</v>
      </c>
      <c r="H51" s="284" t="n">
        <f aca="false">H47-H49</f>
        <v>-310.819038165703</v>
      </c>
      <c r="I51" s="284" t="n">
        <f aca="false">I47-I49</f>
        <v>104.697071850139</v>
      </c>
      <c r="J51" s="284" t="n">
        <f aca="false">J47-J49</f>
        <v>516.352065155495</v>
      </c>
      <c r="K51" s="284" t="n">
        <f aca="false">K47-K49</f>
        <v>1171.8831447013</v>
      </c>
      <c r="L51" s="284" t="n">
        <f aca="false">L47-L49</f>
        <v>1582.26288316044</v>
      </c>
      <c r="M51" s="284" t="n">
        <f aca="false">M47-M49</f>
        <v>2251.14750438214</v>
      </c>
      <c r="N51" s="284" t="n">
        <f aca="false">N47-N49</f>
        <v>2659.72111300116</v>
      </c>
      <c r="O51" s="284" t="n">
        <f aca="false">O47-O49</f>
        <v>3342.30569825383</v>
      </c>
      <c r="P51" s="284" t="n">
        <f aca="false">P47-P49</f>
        <v>3748.4823711425</v>
      </c>
      <c r="Q51" s="284" t="n">
        <f aca="false">Q47-Q49</f>
        <v>4148.90524603102</v>
      </c>
      <c r="R51" s="284" t="n">
        <f aca="false">R47-R49</f>
        <v>4543.14289277674</v>
      </c>
      <c r="S51" s="284" t="n">
        <f aca="false">S47-S49</f>
        <v>4930.74317384665</v>
      </c>
      <c r="T51" s="284" t="n">
        <f aca="false">T47-T49</f>
        <v>5311.23239016112</v>
      </c>
      <c r="U51" s="284" t="n">
        <f aca="false">U47-U49</f>
        <v>5684.11439432481</v>
      </c>
      <c r="V51" s="284" t="n">
        <f aca="false">V47-V49</f>
        <v>6048.86967005695</v>
      </c>
      <c r="W51" s="284" t="n">
        <f aca="false">W47-W49</f>
        <v>6773.0877099242</v>
      </c>
      <c r="X51" s="284" t="n">
        <f aca="false">X47-X49</f>
        <v>7226.40026150174</v>
      </c>
      <c r="Y51" s="284" t="n">
        <f aca="false">Y47-Y49</f>
        <v>7260.22868694096</v>
      </c>
      <c r="Z51" s="284" t="n">
        <f aca="false">Z47-Z49</f>
        <v>7291.35833350166</v>
      </c>
      <c r="AA51" s="284" t="n">
        <f aca="false">AA47-AA49</f>
        <v>7319.70823781744</v>
      </c>
      <c r="AB51" s="284" t="n">
        <f aca="false">AB47-AB49</f>
        <v>7345.19500762097</v>
      </c>
      <c r="AC51" s="284" t="n">
        <f aca="false">AC47-AC49</f>
        <v>7367.73274887688</v>
      </c>
      <c r="AD51" s="284" t="n">
        <f aca="false">AD47-AD49</f>
        <v>7387.23299072878</v>
      </c>
      <c r="AE51" s="284" t="n">
        <f aca="false">AE47-AE49</f>
        <v>7403.60460819448</v>
      </c>
      <c r="AF51" s="284" t="n">
        <f aca="false">AF47-AF49</f>
        <v>7416.75374254244</v>
      </c>
      <c r="AG51" s="284" t="n">
        <f aca="false">AG47-AG49</f>
        <v>12357.5487192791</v>
      </c>
    </row>
    <row r="52" customFormat="false" ht="12.75" hidden="false" customHeight="false" outlineLevel="0" collapsed="false">
      <c r="A52" s="265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</row>
    <row r="53" customFormat="false" ht="12.75" hidden="false" customHeight="false" outlineLevel="0" collapsed="false">
      <c r="A53" s="268" t="s">
        <v>232</v>
      </c>
      <c r="B53" s="285" t="n">
        <f aca="false">Assumptions!O56</f>
        <v>0.06</v>
      </c>
      <c r="C53" s="277" t="n">
        <f aca="false">-C51*$B$53</f>
        <v>7.87479460316707</v>
      </c>
      <c r="D53" s="277" t="n">
        <f aca="false">-D51*$B$53</f>
        <v>186.489305090017</v>
      </c>
      <c r="E53" s="277" t="n">
        <f aca="false">-E51*$B$53</f>
        <v>513.070019087684</v>
      </c>
      <c r="F53" s="277" t="n">
        <f aca="false">-F51*$B$53</f>
        <v>89.2984394956404</v>
      </c>
      <c r="G53" s="277" t="n">
        <f aca="false">-G51*$B$53</f>
        <v>43.7931266468232</v>
      </c>
      <c r="H53" s="277" t="n">
        <f aca="false">-H51*$B$53</f>
        <v>18.6491422899422</v>
      </c>
      <c r="I53" s="277" t="n">
        <f aca="false">-I51*$B$53</f>
        <v>-6.28182431100833</v>
      </c>
      <c r="J53" s="277" t="n">
        <f aca="false">-J51*$B$53</f>
        <v>-30.9811239093297</v>
      </c>
      <c r="K53" s="277" t="n">
        <f aca="false">-K51*$B$53</f>
        <v>-70.3129886820778</v>
      </c>
      <c r="L53" s="277" t="n">
        <f aca="false">-L51*$B$53</f>
        <v>-94.9357729896264</v>
      </c>
      <c r="M53" s="277" t="n">
        <f aca="false">-M51*$B$53</f>
        <v>-135.068850262928</v>
      </c>
      <c r="N53" s="277" t="n">
        <f aca="false">-N51*$B$53</f>
        <v>-159.58326678007</v>
      </c>
      <c r="O53" s="277" t="n">
        <f aca="false">-O51*$B$53</f>
        <v>-200.53834189523</v>
      </c>
      <c r="P53" s="277" t="n">
        <f aca="false">-P51*$B$53</f>
        <v>-224.90894226855</v>
      </c>
      <c r="Q53" s="277" t="n">
        <f aca="false">-Q51*$B$53</f>
        <v>-248.934314761861</v>
      </c>
      <c r="R53" s="277" t="n">
        <f aca="false">-R51*$B$53</f>
        <v>-272.588573566604</v>
      </c>
      <c r="S53" s="277" t="n">
        <f aca="false">-S51*$B$53</f>
        <v>-295.844590430799</v>
      </c>
      <c r="T53" s="277" t="n">
        <f aca="false">-T51*$B$53</f>
        <v>-318.673943409667</v>
      </c>
      <c r="U53" s="277" t="n">
        <f aca="false">-U51*$B$53</f>
        <v>-341.046863659489</v>
      </c>
      <c r="V53" s="277" t="n">
        <f aca="false">-V51*$B$53</f>
        <v>-362.932180203417</v>
      </c>
      <c r="W53" s="277" t="n">
        <f aca="false">-W51*$B$53</f>
        <v>-406.385262595452</v>
      </c>
      <c r="X53" s="277" t="n">
        <f aca="false">-X51*$B$53</f>
        <v>-433.584015690105</v>
      </c>
      <c r="Y53" s="277" t="n">
        <f aca="false">-Y51*$B$53</f>
        <v>-435.613721216458</v>
      </c>
      <c r="Z53" s="277" t="n">
        <f aca="false">-Z51*$B$53</f>
        <v>-437.481500010099</v>
      </c>
      <c r="AA53" s="277" t="n">
        <f aca="false">-AA51*$B$53</f>
        <v>-439.182494269046</v>
      </c>
      <c r="AB53" s="277" t="n">
        <f aca="false">-AB51*$B$53</f>
        <v>-440.711700457258</v>
      </c>
      <c r="AC53" s="277" t="n">
        <f aca="false">-AC51*$B$53</f>
        <v>-442.063964932613</v>
      </c>
      <c r="AD53" s="277" t="n">
        <f aca="false">-AD51*$B$53</f>
        <v>-443.233979443727</v>
      </c>
      <c r="AE53" s="277" t="n">
        <f aca="false">-AE51*$B$53</f>
        <v>-444.216276491669</v>
      </c>
      <c r="AF53" s="277" t="n">
        <f aca="false">-AF51*$B$53</f>
        <v>-445.005224552546</v>
      </c>
      <c r="AG53" s="277" t="n">
        <f aca="false">-AG51*$B$53</f>
        <v>-741.452923156747</v>
      </c>
    </row>
    <row r="54" customFormat="false" ht="12.75" hidden="false" customHeight="false" outlineLevel="0" collapsed="false">
      <c r="A54" s="268" t="s">
        <v>233</v>
      </c>
      <c r="B54" s="285" t="n">
        <f aca="false">Assumptions!O55</f>
        <v>0.35</v>
      </c>
      <c r="C54" s="277" t="n">
        <f aca="false">(C51+C53)*-$B$54</f>
        <v>43.1801237406995</v>
      </c>
      <c r="D54" s="277" t="n">
        <f aca="false">(D51+D53)*-$B$54</f>
        <v>1022.58302291026</v>
      </c>
      <c r="E54" s="277" t="n">
        <f aca="false">(E51+E53)*-$B$54</f>
        <v>2813.33393799747</v>
      </c>
      <c r="F54" s="277" t="n">
        <f aca="false">(F51+F53)*-$B$54</f>
        <v>489.653109901095</v>
      </c>
      <c r="G54" s="277" t="n">
        <f aca="false">(G51+G53)*-$B$54</f>
        <v>240.132311113414</v>
      </c>
      <c r="H54" s="277" t="n">
        <f aca="false">(H51+H53)*-$B$54</f>
        <v>102.259463556516</v>
      </c>
      <c r="I54" s="277" t="n">
        <f aca="false">(I51+I53)*-$B$54</f>
        <v>-34.4453366386957</v>
      </c>
      <c r="J54" s="277" t="n">
        <f aca="false">(J51+J53)*-$B$54</f>
        <v>-169.879829436158</v>
      </c>
      <c r="K54" s="277" t="n">
        <f aca="false">(K51+K53)*-$B$54</f>
        <v>-385.549554606727</v>
      </c>
      <c r="L54" s="277" t="n">
        <f aca="false">(L51+L53)*-$B$54</f>
        <v>-520.564488559785</v>
      </c>
      <c r="M54" s="277" t="n">
        <f aca="false">(M51+M53)*-$B$54</f>
        <v>-740.627528941724</v>
      </c>
      <c r="N54" s="277" t="n">
        <f aca="false">(N51+N53)*-$B$54</f>
        <v>-875.048246177383</v>
      </c>
      <c r="O54" s="277" t="n">
        <f aca="false">(O51+O53)*-$B$54</f>
        <v>-1099.61857472551</v>
      </c>
      <c r="P54" s="277" t="n">
        <f aca="false">(P51+P53)*-$B$54</f>
        <v>-1233.25070010588</v>
      </c>
      <c r="Q54" s="277" t="n">
        <f aca="false">(Q51+Q53)*-$B$54</f>
        <v>-1364.9898259442</v>
      </c>
      <c r="R54" s="277" t="n">
        <f aca="false">(R51+R53)*-$B$54</f>
        <v>-1494.69401172355</v>
      </c>
      <c r="S54" s="277" t="n">
        <f aca="false">(S51+S53)*-$B$54</f>
        <v>-1622.21450419555</v>
      </c>
      <c r="T54" s="277" t="n">
        <f aca="false">(T51+T53)*-$B$54</f>
        <v>-1747.39545636301</v>
      </c>
      <c r="U54" s="277" t="n">
        <f aca="false">(U51+U53)*-$B$54</f>
        <v>-1870.07363573286</v>
      </c>
      <c r="V54" s="277" t="n">
        <f aca="false">(V51+V53)*-$B$54</f>
        <v>-1990.07812144874</v>
      </c>
      <c r="W54" s="277" t="n">
        <f aca="false">(W51+W53)*-$B$54</f>
        <v>-2228.34585656506</v>
      </c>
      <c r="X54" s="277" t="n">
        <f aca="false">(X51+X53)*-$B$54</f>
        <v>-2377.48568603407</v>
      </c>
      <c r="Y54" s="277" t="n">
        <f aca="false">(Y51+Y53)*-$B$54</f>
        <v>-2388.61523800358</v>
      </c>
      <c r="Z54" s="277" t="n">
        <f aca="false">(Z51+Z53)*-$B$54</f>
        <v>-2398.85689172205</v>
      </c>
      <c r="AA54" s="277" t="n">
        <f aca="false">(AA51+AA53)*-$B$54</f>
        <v>-2408.18401024194</v>
      </c>
      <c r="AB54" s="277" t="n">
        <f aca="false">(AB51+AB53)*-$B$54</f>
        <v>-2416.5691575073</v>
      </c>
      <c r="AC54" s="277" t="n">
        <f aca="false">(AC51+AC53)*-$B$54</f>
        <v>-2423.9840743805</v>
      </c>
      <c r="AD54" s="277" t="n">
        <f aca="false">(AD51+AD53)*-$B$54</f>
        <v>-2430.39965394977</v>
      </c>
      <c r="AE54" s="277" t="n">
        <f aca="false">(AE51+AE53)*-$B$54</f>
        <v>-2435.78591609598</v>
      </c>
      <c r="AF54" s="277" t="n">
        <f aca="false">(AF51+AF53)*-$B$54</f>
        <v>-2440.11198129646</v>
      </c>
      <c r="AG54" s="277" t="n">
        <f aca="false">(AG51+AG53)*-$B$54</f>
        <v>-4065.63352864283</v>
      </c>
    </row>
    <row r="55" customFormat="false" ht="12.75" hidden="false" customHeight="false" outlineLevel="0" collapsed="false">
      <c r="A55" s="80"/>
      <c r="C55" s="266"/>
      <c r="D55" s="266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</row>
    <row r="56" customFormat="false" ht="15.75" hidden="false" customHeight="false" outlineLevel="0" collapsed="false">
      <c r="A56" s="286" t="s">
        <v>234</v>
      </c>
      <c r="B56" s="287"/>
      <c r="C56" s="288" t="n">
        <f aca="false">C51+C53+C54</f>
        <v>-80.1916583755847</v>
      </c>
      <c r="D56" s="288" t="n">
        <f aca="false">D51+D53+D54</f>
        <v>-1899.08275683334</v>
      </c>
      <c r="E56" s="288" t="n">
        <f aca="false">E51+E53+E54</f>
        <v>-5224.76302770958</v>
      </c>
      <c r="F56" s="288" t="n">
        <f aca="false">F51+F53+F54</f>
        <v>-909.355775530604</v>
      </c>
      <c r="G56" s="288" t="n">
        <f aca="false">G51+G53+G54</f>
        <v>-445.960006353483</v>
      </c>
      <c r="H56" s="288" t="n">
        <f aca="false">H51+H53+H54</f>
        <v>-189.910432319245</v>
      </c>
      <c r="I56" s="288" t="n">
        <f aca="false">I51+I53+I54</f>
        <v>63.9699109004348</v>
      </c>
      <c r="J56" s="288" t="n">
        <f aca="false">J51+J53+J54</f>
        <v>315.491111810007</v>
      </c>
      <c r="K56" s="288" t="n">
        <f aca="false">K51+K53+K54</f>
        <v>716.020601412493</v>
      </c>
      <c r="L56" s="288" t="n">
        <f aca="false">L51+L53+L54</f>
        <v>966.762621611029</v>
      </c>
      <c r="M56" s="288" t="n">
        <f aca="false">M51+M53+M54</f>
        <v>1375.45112517749</v>
      </c>
      <c r="N56" s="288" t="n">
        <f aca="false">N51+N53+N54</f>
        <v>1625.08960004371</v>
      </c>
      <c r="O56" s="288" t="n">
        <f aca="false">O51+O53+O54</f>
        <v>2042.14878163309</v>
      </c>
      <c r="P56" s="288" t="n">
        <f aca="false">P51+P53+P54</f>
        <v>2290.32272876807</v>
      </c>
      <c r="Q56" s="288" t="n">
        <f aca="false">Q51+Q53+Q54</f>
        <v>2534.98110532495</v>
      </c>
      <c r="R56" s="288" t="n">
        <f aca="false">R51+R53+R54</f>
        <v>2775.86030748659</v>
      </c>
      <c r="S56" s="288" t="n">
        <f aca="false">S51+S53+S54</f>
        <v>3012.68407922031</v>
      </c>
      <c r="T56" s="288" t="n">
        <f aca="false">T51+T53+T54</f>
        <v>3245.16299038845</v>
      </c>
      <c r="U56" s="288" t="n">
        <f aca="false">U51+U53+U54</f>
        <v>3472.99389493246</v>
      </c>
      <c r="V56" s="288" t="n">
        <f aca="false">V51+V53+V54</f>
        <v>3695.85936840479</v>
      </c>
      <c r="W56" s="288" t="n">
        <f aca="false">W51+W53+W54</f>
        <v>4138.35659076369</v>
      </c>
      <c r="X56" s="288" t="n">
        <f aca="false">X51+X53+X54</f>
        <v>4415.33055977757</v>
      </c>
      <c r="Y56" s="288" t="n">
        <f aca="false">Y51+Y53+Y54</f>
        <v>4435.99972772093</v>
      </c>
      <c r="Z56" s="288" t="n">
        <f aca="false">Z51+Z53+Z54</f>
        <v>4455.01994176951</v>
      </c>
      <c r="AA56" s="288" t="n">
        <f aca="false">AA51+AA53+AA54</f>
        <v>4472.34173330646</v>
      </c>
      <c r="AB56" s="288" t="n">
        <f aca="false">AB51+AB53+AB54</f>
        <v>4487.91414965641</v>
      </c>
      <c r="AC56" s="288" t="n">
        <f aca="false">AC51+AC53+AC54</f>
        <v>4501.68470956378</v>
      </c>
      <c r="AD56" s="288" t="n">
        <f aca="false">AD51+AD53+AD54</f>
        <v>4513.59935733528</v>
      </c>
      <c r="AE56" s="288" t="n">
        <f aca="false">AE51+AE53+AE54</f>
        <v>4523.60241560683</v>
      </c>
      <c r="AF56" s="288" t="n">
        <f aca="false">AF51+AF53+AF54</f>
        <v>4531.63653669343</v>
      </c>
      <c r="AG56" s="288" t="n">
        <f aca="false">AG51+AG53+AG54</f>
        <v>7550.46226747954</v>
      </c>
    </row>
    <row r="58" customFormat="false" ht="12.75" hidden="false" customHeight="false" outlineLevel="0" collapsed="false">
      <c r="C58" s="271"/>
      <c r="D58" s="271"/>
      <c r="E58" s="271"/>
      <c r="F58" s="271"/>
      <c r="G58" s="271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1"/>
      <c r="X58" s="271"/>
    </row>
    <row r="59" customFormat="false" ht="12.75" hidden="false" customHeight="false" outlineLevel="0" collapsed="false">
      <c r="C59" s="289"/>
      <c r="D59" s="289"/>
      <c r="E59" s="289"/>
      <c r="F59" s="289"/>
      <c r="G59" s="289"/>
    </row>
    <row r="60" customFormat="false" ht="12.75" hidden="false" customHeight="false" outlineLevel="0" collapsed="false">
      <c r="C60" s="289"/>
      <c r="D60" s="289"/>
      <c r="E60" s="289"/>
      <c r="F60" s="289"/>
      <c r="G60" s="289"/>
    </row>
    <row r="61" customFormat="false" ht="12.75" hidden="false" customHeight="false" outlineLevel="0" collapsed="false">
      <c r="C61" s="289"/>
      <c r="D61" s="289"/>
      <c r="E61" s="289"/>
      <c r="F61" s="289"/>
      <c r="G61" s="289"/>
    </row>
    <row r="62" customFormat="false" ht="12.75" hidden="false" customHeight="false" outlineLevel="0" collapsed="false">
      <c r="C62" s="258"/>
      <c r="D62" s="258"/>
      <c r="E62" s="258"/>
      <c r="F62" s="258"/>
      <c r="G62" s="258"/>
    </row>
    <row r="63" customFormat="false" ht="12.75" hidden="false" customHeight="false" outlineLevel="0" collapsed="false">
      <c r="C63" s="289"/>
      <c r="D63" s="289"/>
      <c r="E63" s="289"/>
      <c r="F63" s="289"/>
      <c r="G63" s="289"/>
    </row>
    <row r="64" customFormat="false" ht="12.75" hidden="false" customHeight="false" outlineLevel="0" collapsed="false">
      <c r="C64" s="289"/>
      <c r="D64" s="289"/>
      <c r="E64" s="289"/>
      <c r="F64" s="289"/>
      <c r="G64" s="289"/>
    </row>
    <row r="65" customFormat="false" ht="12.75" hidden="false" customHeight="false" outlineLevel="0" collapsed="false">
      <c r="C65" s="289"/>
      <c r="D65" s="289"/>
      <c r="E65" s="289"/>
      <c r="F65" s="289"/>
      <c r="G65" s="289"/>
    </row>
    <row r="66" customFormat="false" ht="12.75" hidden="false" customHeight="false" outlineLevel="0" collapsed="false">
      <c r="C66" s="289"/>
      <c r="D66" s="289"/>
      <c r="E66" s="289"/>
      <c r="F66" s="289"/>
      <c r="G66" s="289"/>
    </row>
    <row r="67" customFormat="false" ht="12.75" hidden="false" customHeight="false" outlineLevel="0" collapsed="false">
      <c r="C67" s="289"/>
      <c r="D67" s="289"/>
      <c r="E67" s="289"/>
      <c r="F67" s="289"/>
      <c r="G67" s="289"/>
    </row>
    <row r="68" customFormat="false" ht="12.75" hidden="false" customHeight="false" outlineLevel="0" collapsed="false">
      <c r="C68" s="258"/>
      <c r="D68" s="258"/>
      <c r="E68" s="258"/>
      <c r="F68" s="258"/>
      <c r="G68" s="258"/>
    </row>
    <row r="69" customFormat="false" ht="12.75" hidden="false" customHeight="false" outlineLevel="0" collapsed="false">
      <c r="C69" s="258"/>
      <c r="D69" s="258"/>
      <c r="E69" s="258"/>
      <c r="F69" s="258"/>
      <c r="G69" s="258"/>
    </row>
    <row r="70" customFormat="false" ht="12.75" hidden="false" customHeight="false" outlineLevel="0" collapsed="false">
      <c r="C70" s="290"/>
      <c r="D70" s="290"/>
      <c r="E70" s="290"/>
      <c r="F70" s="290"/>
      <c r="G70" s="258"/>
    </row>
    <row r="71" customFormat="false" ht="12.75" hidden="false" customHeight="false" outlineLevel="0" collapsed="false">
      <c r="C71" s="258"/>
      <c r="D71" s="258"/>
      <c r="E71" s="258"/>
      <c r="F71" s="258"/>
      <c r="G71" s="258"/>
    </row>
    <row r="72" customFormat="false" ht="12.75" hidden="false" customHeight="false" outlineLevel="0" collapsed="false">
      <c r="C72" s="290"/>
      <c r="D72" s="258"/>
      <c r="E72" s="258"/>
      <c r="F72" s="258"/>
      <c r="G72" s="258"/>
    </row>
    <row r="73" customFormat="false" ht="12.75" hidden="false" customHeight="false" outlineLevel="0" collapsed="false">
      <c r="C73" s="258"/>
      <c r="D73" s="258"/>
      <c r="E73" s="258"/>
      <c r="F73" s="258"/>
      <c r="G73" s="258"/>
    </row>
    <row r="74" customFormat="false" ht="12.75" hidden="false" customHeight="false" outlineLevel="0" collapsed="false">
      <c r="C74" s="258"/>
      <c r="D74" s="258"/>
      <c r="E74" s="258"/>
      <c r="F74" s="258"/>
      <c r="G74" s="25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D23" activeCellId="0" sqref="D23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63.56"/>
    <col collapsed="false" customWidth="true" hidden="false" outlineLevel="0" max="24" min="2" style="1" width="12.85"/>
    <col collapsed="false" customWidth="true" hidden="false" outlineLevel="0" max="26" min="25" style="270" width="12.85"/>
    <col collapsed="false" customWidth="true" hidden="false" outlineLevel="0" max="33" min="27" style="1" width="12.85"/>
    <col collapsed="false" customWidth="true" hidden="false" outlineLevel="0" max="35" min="34" style="1" width="9.85"/>
    <col collapsed="false" customWidth="false" hidden="false" outlineLevel="0" max="37" min="36" style="1" width="9.14"/>
    <col collapsed="false" customWidth="true" hidden="false" outlineLevel="0" max="39" min="38" style="1" width="9.85"/>
    <col collapsed="false" customWidth="false" hidden="false" outlineLevel="0" max="81" min="40" style="1" width="9.14"/>
    <col collapsed="false" customWidth="true" hidden="false" outlineLevel="0" max="83" min="82" style="1" width="9.85"/>
    <col collapsed="false" customWidth="false" hidden="false" outlineLevel="0" max="257" min="84" style="1" width="9.14"/>
  </cols>
  <sheetData>
    <row r="2" customFormat="false" ht="18.75" hidden="false" customHeight="false" outlineLevel="0" collapsed="false">
      <c r="A2" s="6" t="str">
        <f aca="false">Assumptions!A3</f>
        <v>PROJECT NAME: LINCOLN</v>
      </c>
    </row>
    <row r="4" customFormat="false" ht="18.75" hidden="false" customHeight="false" outlineLevel="0" collapsed="false">
      <c r="A4" s="259" t="s">
        <v>235</v>
      </c>
    </row>
    <row r="7" customFormat="false" ht="18.75" hidden="false" customHeight="false" outlineLevel="0" collapsed="false">
      <c r="A7" s="6" t="s">
        <v>236</v>
      </c>
    </row>
    <row r="8" customFormat="false" ht="12.75" hidden="false" customHeight="false" outlineLevel="0" collapsed="false">
      <c r="B8" s="291" t="n">
        <v>0</v>
      </c>
      <c r="C8" s="291" t="n">
        <f aca="false">'Power Price Assumption'!D9</f>
        <v>0.666666666666667</v>
      </c>
      <c r="D8" s="291" t="n">
        <f aca="false">'Power Price Assumption'!E9</f>
        <v>1.66666666666667</v>
      </c>
      <c r="E8" s="291" t="n">
        <f aca="false">'Power Price Assumption'!F9</f>
        <v>2.66666666666667</v>
      </c>
      <c r="F8" s="291" t="n">
        <f aca="false">'Power Price Assumption'!G9</f>
        <v>3.66666666666667</v>
      </c>
      <c r="G8" s="291" t="n">
        <f aca="false">'Power Price Assumption'!H9</f>
        <v>4.66666666666667</v>
      </c>
      <c r="H8" s="291" t="n">
        <f aca="false">'Power Price Assumption'!I9</f>
        <v>5.66666666666667</v>
      </c>
      <c r="I8" s="291" t="n">
        <f aca="false">'Power Price Assumption'!J9</f>
        <v>6.66666666666667</v>
      </c>
      <c r="J8" s="291" t="n">
        <f aca="false">'Power Price Assumption'!K9</f>
        <v>7.66666666666667</v>
      </c>
      <c r="K8" s="291" t="n">
        <f aca="false">'Power Price Assumption'!L9</f>
        <v>8.66666666666667</v>
      </c>
      <c r="L8" s="291" t="n">
        <f aca="false">'Power Price Assumption'!M9</f>
        <v>9.66666666666667</v>
      </c>
      <c r="M8" s="291" t="n">
        <f aca="false">'Power Price Assumption'!N9</f>
        <v>10.6666666666667</v>
      </c>
      <c r="N8" s="291" t="n">
        <f aca="false">'Power Price Assumption'!O9</f>
        <v>11.6666666666667</v>
      </c>
      <c r="O8" s="291" t="n">
        <f aca="false">'Power Price Assumption'!P9</f>
        <v>12.6666666666667</v>
      </c>
      <c r="P8" s="291" t="n">
        <f aca="false">'Power Price Assumption'!Q9</f>
        <v>13.6666666666667</v>
      </c>
      <c r="Q8" s="291" t="n">
        <f aca="false">'Power Price Assumption'!R9</f>
        <v>14.6666666666667</v>
      </c>
      <c r="R8" s="291" t="n">
        <f aca="false">'Power Price Assumption'!S9</f>
        <v>15.6666666666667</v>
      </c>
      <c r="S8" s="291" t="n">
        <f aca="false">'Power Price Assumption'!T9</f>
        <v>16.6666666666667</v>
      </c>
      <c r="T8" s="291" t="n">
        <f aca="false">'Power Price Assumption'!U9</f>
        <v>17.6666666666667</v>
      </c>
      <c r="U8" s="291" t="n">
        <f aca="false">'Power Price Assumption'!V9</f>
        <v>18.6666666666667</v>
      </c>
      <c r="V8" s="291" t="n">
        <f aca="false">'Power Price Assumption'!W9</f>
        <v>19.6666666666667</v>
      </c>
      <c r="W8" s="291" t="n">
        <f aca="false">'Power Price Assumption'!X9</f>
        <v>20.6666666666667</v>
      </c>
      <c r="X8" s="291" t="n">
        <f aca="false">'Power Price Assumption'!Y9</f>
        <v>21.6666666666667</v>
      </c>
      <c r="Y8" s="291" t="n">
        <f aca="false">'Power Price Assumption'!Z9</f>
        <v>22.6666666666667</v>
      </c>
      <c r="Z8" s="291" t="n">
        <f aca="false">'Power Price Assumption'!AA9</f>
        <v>23.6666666666667</v>
      </c>
      <c r="AA8" s="291" t="n">
        <f aca="false">'Power Price Assumption'!AB9</f>
        <v>24.6666666666667</v>
      </c>
      <c r="AB8" s="291" t="n">
        <f aca="false">'Power Price Assumption'!AC9</f>
        <v>25.6666666666667</v>
      </c>
      <c r="AC8" s="291" t="n">
        <f aca="false">'Power Price Assumption'!AD9</f>
        <v>26.6666666666667</v>
      </c>
      <c r="AD8" s="291" t="n">
        <f aca="false">'Power Price Assumption'!AE9</f>
        <v>27.6666666666667</v>
      </c>
      <c r="AE8" s="291" t="n">
        <f aca="false">'Power Price Assumption'!AF9</f>
        <v>28.6666666666667</v>
      </c>
      <c r="AF8" s="291" t="n">
        <f aca="false">'Power Price Assumption'!AG9</f>
        <v>29.6666666666667</v>
      </c>
      <c r="AG8" s="291" t="n">
        <f aca="false">'Power Price Assumption'!AH9</f>
        <v>30.6666666666667</v>
      </c>
    </row>
    <row r="9" customFormat="false" ht="13.5" hidden="false" customHeight="false" outlineLevel="1" collapsed="false">
      <c r="A9" s="261" t="s">
        <v>206</v>
      </c>
      <c r="B9" s="262" t="n">
        <f aca="false">YEAR(Assumptions!B67)</f>
        <v>2001</v>
      </c>
      <c r="C9" s="262" t="n">
        <f aca="false">'Power Price Assumption'!D10</f>
        <v>2002</v>
      </c>
      <c r="D9" s="262" t="n">
        <f aca="false">'Power Price Assumption'!E10</f>
        <v>2003</v>
      </c>
      <c r="E9" s="262" t="n">
        <f aca="false">'Power Price Assumption'!F10</f>
        <v>2004</v>
      </c>
      <c r="F9" s="262" t="n">
        <f aca="false">'Power Price Assumption'!G10</f>
        <v>2005</v>
      </c>
      <c r="G9" s="262" t="n">
        <f aca="false">'Power Price Assumption'!H10</f>
        <v>2006</v>
      </c>
      <c r="H9" s="262" t="n">
        <f aca="false">'Power Price Assumption'!I10</f>
        <v>2007</v>
      </c>
      <c r="I9" s="262" t="n">
        <f aca="false">'Power Price Assumption'!J10</f>
        <v>2008</v>
      </c>
      <c r="J9" s="262" t="n">
        <f aca="false">'Power Price Assumption'!K10</f>
        <v>2009</v>
      </c>
      <c r="K9" s="262" t="n">
        <f aca="false">'Power Price Assumption'!L10</f>
        <v>2010</v>
      </c>
      <c r="L9" s="262" t="n">
        <f aca="false">'Power Price Assumption'!M10</f>
        <v>2011</v>
      </c>
      <c r="M9" s="262" t="n">
        <f aca="false">'Power Price Assumption'!N10</f>
        <v>2012</v>
      </c>
      <c r="N9" s="262" t="n">
        <f aca="false">'Power Price Assumption'!O10</f>
        <v>2013</v>
      </c>
      <c r="O9" s="262" t="n">
        <f aca="false">'Power Price Assumption'!P10</f>
        <v>2014</v>
      </c>
      <c r="P9" s="262" t="n">
        <f aca="false">'Power Price Assumption'!Q10</f>
        <v>2015</v>
      </c>
      <c r="Q9" s="262" t="n">
        <f aca="false">'Power Price Assumption'!R10</f>
        <v>2016</v>
      </c>
      <c r="R9" s="262" t="n">
        <f aca="false">'Power Price Assumption'!S10</f>
        <v>2017</v>
      </c>
      <c r="S9" s="262" t="n">
        <f aca="false">'Power Price Assumption'!T10</f>
        <v>2018</v>
      </c>
      <c r="T9" s="262" t="n">
        <f aca="false">'Power Price Assumption'!U10</f>
        <v>2019</v>
      </c>
      <c r="U9" s="262" t="n">
        <f aca="false">'Power Price Assumption'!V10</f>
        <v>2020</v>
      </c>
      <c r="V9" s="262" t="n">
        <f aca="false">'Power Price Assumption'!W10</f>
        <v>2021</v>
      </c>
      <c r="W9" s="262" t="n">
        <f aca="false">'Power Price Assumption'!X10</f>
        <v>2022</v>
      </c>
      <c r="X9" s="262" t="n">
        <f aca="false">'Power Price Assumption'!Y10</f>
        <v>2023</v>
      </c>
      <c r="Y9" s="262" t="n">
        <f aca="false">'Power Price Assumption'!Z10</f>
        <v>2024</v>
      </c>
      <c r="Z9" s="262" t="n">
        <f aca="false">'Power Price Assumption'!AA10</f>
        <v>2025</v>
      </c>
      <c r="AA9" s="262" t="n">
        <f aca="false">'Power Price Assumption'!AB10</f>
        <v>2026</v>
      </c>
      <c r="AB9" s="262" t="n">
        <f aca="false">'Power Price Assumption'!AC10</f>
        <v>2027</v>
      </c>
      <c r="AC9" s="262" t="n">
        <f aca="false">'Power Price Assumption'!AD10</f>
        <v>2028</v>
      </c>
      <c r="AD9" s="262" t="n">
        <f aca="false">'Power Price Assumption'!AE10</f>
        <v>2029</v>
      </c>
      <c r="AE9" s="262" t="n">
        <f aca="false">'Power Price Assumption'!AF10</f>
        <v>2030</v>
      </c>
      <c r="AF9" s="262" t="n">
        <f aca="false">'Power Price Assumption'!AG10</f>
        <v>2031</v>
      </c>
      <c r="AG9" s="262" t="n">
        <f aca="false">'Power Price Assumption'!AH10</f>
        <v>2032</v>
      </c>
    </row>
    <row r="10" customFormat="false" ht="12.75" hidden="false" customHeight="false" outlineLevel="1" collapsed="false">
      <c r="A10" s="292"/>
      <c r="B10" s="293" t="n">
        <f aca="false">Assumptions!B67</f>
        <v>37104</v>
      </c>
      <c r="C10" s="293" t="n">
        <f aca="false">IS!C8</f>
        <v>37620.5</v>
      </c>
      <c r="D10" s="293" t="n">
        <f aca="false">IS!D8</f>
        <v>37985.75</v>
      </c>
      <c r="E10" s="293" t="n">
        <f aca="false">IS!E8</f>
        <v>38351</v>
      </c>
      <c r="F10" s="293" t="n">
        <f aca="false">IS!F8</f>
        <v>38716.25</v>
      </c>
      <c r="G10" s="293" t="n">
        <f aca="false">IS!G8</f>
        <v>39081.5</v>
      </c>
      <c r="H10" s="293" t="n">
        <f aca="false">IS!H8</f>
        <v>39446.75</v>
      </c>
      <c r="I10" s="293" t="n">
        <f aca="false">IS!I8</f>
        <v>39812</v>
      </c>
      <c r="J10" s="293" t="n">
        <f aca="false">IS!J8</f>
        <v>40177.25</v>
      </c>
      <c r="K10" s="293" t="n">
        <f aca="false">IS!K8</f>
        <v>40542.5</v>
      </c>
      <c r="L10" s="293" t="n">
        <f aca="false">IS!L8</f>
        <v>40907.75</v>
      </c>
      <c r="M10" s="293" t="n">
        <f aca="false">IS!M8</f>
        <v>41273</v>
      </c>
      <c r="N10" s="293" t="n">
        <f aca="false">IS!N8</f>
        <v>41638.25</v>
      </c>
      <c r="O10" s="293" t="n">
        <f aca="false">IS!O8</f>
        <v>42003.5</v>
      </c>
      <c r="P10" s="293" t="n">
        <f aca="false">IS!P8</f>
        <v>42368.75</v>
      </c>
      <c r="Q10" s="293" t="n">
        <f aca="false">IS!Q8</f>
        <v>42734</v>
      </c>
      <c r="R10" s="293" t="n">
        <f aca="false">IS!R8</f>
        <v>43099.25</v>
      </c>
      <c r="S10" s="293" t="n">
        <f aca="false">IS!S8</f>
        <v>43464.5</v>
      </c>
      <c r="T10" s="293" t="n">
        <f aca="false">IS!T8</f>
        <v>43829.75</v>
      </c>
      <c r="U10" s="293" t="n">
        <f aca="false">IS!U8</f>
        <v>44195</v>
      </c>
      <c r="V10" s="293" t="n">
        <f aca="false">IS!V8</f>
        <v>44560.25</v>
      </c>
      <c r="W10" s="293" t="n">
        <f aca="false">IS!W8</f>
        <v>44925.5</v>
      </c>
      <c r="X10" s="293" t="n">
        <f aca="false">IS!X8</f>
        <v>45290.75</v>
      </c>
      <c r="Y10" s="293" t="n">
        <f aca="false">IS!Y8</f>
        <v>45656</v>
      </c>
      <c r="Z10" s="293" t="n">
        <f aca="false">IS!Z8</f>
        <v>46021.25</v>
      </c>
      <c r="AA10" s="293" t="n">
        <f aca="false">IS!AA8</f>
        <v>46386.5</v>
      </c>
      <c r="AB10" s="293" t="n">
        <f aca="false">IS!AB8</f>
        <v>46751.75</v>
      </c>
      <c r="AC10" s="293" t="n">
        <f aca="false">IS!AC8</f>
        <v>47117</v>
      </c>
      <c r="AD10" s="293" t="n">
        <f aca="false">IS!AD8</f>
        <v>47482.25</v>
      </c>
      <c r="AE10" s="293" t="n">
        <f aca="false">IS!AE8</f>
        <v>47847.5</v>
      </c>
      <c r="AF10" s="293" t="n">
        <f aca="false">IS!AF8</f>
        <v>48212.75</v>
      </c>
      <c r="AG10" s="293" t="n">
        <f aca="false">IS!AG8</f>
        <v>48578</v>
      </c>
    </row>
    <row r="11" customFormat="false" ht="12.75" hidden="false" customHeight="false" outlineLevel="1" collapsed="false">
      <c r="A11" s="263"/>
      <c r="B11" s="263"/>
      <c r="C11" s="294"/>
      <c r="D11" s="294"/>
      <c r="E11" s="294"/>
      <c r="F11" s="294"/>
      <c r="G11" s="294"/>
      <c r="H11" s="294"/>
      <c r="I11" s="295"/>
      <c r="J11" s="295"/>
      <c r="K11" s="296"/>
      <c r="L11" s="296"/>
      <c r="M11" s="295"/>
      <c r="N11" s="295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294"/>
      <c r="AC11" s="294"/>
      <c r="AD11" s="294"/>
      <c r="AE11" s="294"/>
      <c r="AF11" s="294"/>
      <c r="AG11" s="294"/>
    </row>
    <row r="12" customFormat="false" ht="12.75" hidden="false" customHeight="false" outlineLevel="0" collapsed="false">
      <c r="A12" s="297" t="s">
        <v>227</v>
      </c>
      <c r="B12" s="298" t="n">
        <v>0</v>
      </c>
      <c r="C12" s="298" t="n">
        <f aca="false">IS!C43</f>
        <v>6308.38152</v>
      </c>
      <c r="D12" s="298" t="n">
        <f aca="false">IS!D43</f>
        <v>9746.9239656</v>
      </c>
      <c r="E12" s="298" t="n">
        <f aca="false">IS!E43</f>
        <v>3993.515684568</v>
      </c>
      <c r="F12" s="298" t="n">
        <f aca="false">IS!F43</f>
        <v>10745.9789633645</v>
      </c>
      <c r="G12" s="298" t="n">
        <f aca="false">IS!G43</f>
        <v>11194.0044631072</v>
      </c>
      <c r="H12" s="298" t="n">
        <f aca="false">IS!H43</f>
        <v>11302.6744879844</v>
      </c>
      <c r="I12" s="298" t="n">
        <f aca="false">IS!I43</f>
        <v>11407.7942169293</v>
      </c>
      <c r="J12" s="298" t="n">
        <f aca="false">IS!J43</f>
        <v>11509.0528291638</v>
      </c>
      <c r="K12" s="298" t="n">
        <f aca="false">IS!K43</f>
        <v>11854.1875276387</v>
      </c>
      <c r="L12" s="298" t="n">
        <f aca="false">IS!L43</f>
        <v>11954.1708850269</v>
      </c>
      <c r="M12" s="298" t="n">
        <f aca="false">IS!M43</f>
        <v>12312.6591251778</v>
      </c>
      <c r="N12" s="298" t="n">
        <f aca="false">IS!N43</f>
        <v>12410.8363527259</v>
      </c>
      <c r="O12" s="298" t="n">
        <f aca="false">IS!O43</f>
        <v>12783.0245569077</v>
      </c>
      <c r="P12" s="298" t="n">
        <f aca="false">IS!P43</f>
        <v>12878.8048487254</v>
      </c>
      <c r="Q12" s="298" t="n">
        <f aca="false">IS!Q43</f>
        <v>12968.8313425431</v>
      </c>
      <c r="R12" s="298" t="n">
        <f aca="false">IS!R43</f>
        <v>13052.6726082179</v>
      </c>
      <c r="S12" s="298" t="n">
        <f aca="false">IS!S43</f>
        <v>13129.8765082169</v>
      </c>
      <c r="T12" s="298" t="n">
        <f aca="false">IS!T43</f>
        <v>13199.9693434605</v>
      </c>
      <c r="U12" s="298" t="n">
        <f aca="false">IS!U43</f>
        <v>13262.4549665533</v>
      </c>
      <c r="V12" s="298" t="n">
        <f aca="false">IS!V43</f>
        <v>13316.8138612146</v>
      </c>
      <c r="W12" s="298" t="n">
        <f aca="false">IS!W43</f>
        <v>13362.5021866776</v>
      </c>
      <c r="X12" s="298" t="n">
        <f aca="false">IS!X43</f>
        <v>13398.9507857853</v>
      </c>
      <c r="Y12" s="298" t="n">
        <f aca="false">IS!Y43</f>
        <v>13432.7792112245</v>
      </c>
      <c r="Z12" s="298" t="n">
        <f aca="false">IS!Z43</f>
        <v>13463.9088577852</v>
      </c>
      <c r="AA12" s="298" t="n">
        <f aca="false">IS!AA43</f>
        <v>13492.258762101</v>
      </c>
      <c r="AB12" s="298" t="n">
        <f aca="false">IS!AB43</f>
        <v>13517.7455319045</v>
      </c>
      <c r="AC12" s="298" t="n">
        <f aca="false">IS!AC43</f>
        <v>13540.2832731604</v>
      </c>
      <c r="AD12" s="298" t="n">
        <f aca="false">IS!AD43</f>
        <v>13559.7835150123</v>
      </c>
      <c r="AE12" s="298" t="n">
        <f aca="false">IS!AE43</f>
        <v>13576.155132478</v>
      </c>
      <c r="AF12" s="298" t="n">
        <f aca="false">IS!AF43</f>
        <v>13589.304266826</v>
      </c>
      <c r="AG12" s="298" t="n">
        <f aca="false">IS!AG43</f>
        <v>13599.1342435627</v>
      </c>
    </row>
    <row r="13" customFormat="false" ht="12.75" hidden="false" customHeight="false" outlineLevel="0" collapsed="false"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</row>
    <row r="14" customFormat="false" ht="12.75" hidden="false" customHeight="false" outlineLevel="0" collapsed="false">
      <c r="A14" s="300" t="s">
        <v>237</v>
      </c>
      <c r="B14" s="298" t="n">
        <v>0</v>
      </c>
      <c r="C14" s="298" t="n">
        <f aca="false">Debt!B82</f>
        <v>0</v>
      </c>
      <c r="D14" s="298" t="n">
        <f aca="false">Debt!C82</f>
        <v>0</v>
      </c>
      <c r="E14" s="298" t="n">
        <f aca="false">Debt!D82</f>
        <v>0</v>
      </c>
      <c r="F14" s="298" t="n">
        <f aca="false">Debt!E82</f>
        <v>0</v>
      </c>
      <c r="G14" s="298" t="n">
        <f aca="false">Debt!F82</f>
        <v>0</v>
      </c>
      <c r="H14" s="298" t="n">
        <f aca="false">Debt!G82</f>
        <v>0</v>
      </c>
      <c r="I14" s="298" t="n">
        <f aca="false">Debt!H82</f>
        <v>0</v>
      </c>
      <c r="J14" s="298" t="n">
        <f aca="false">Debt!I82</f>
        <v>0</v>
      </c>
      <c r="K14" s="298" t="n">
        <f aca="false">Debt!J82</f>
        <v>0</v>
      </c>
      <c r="L14" s="298" t="n">
        <f aca="false">Debt!K82</f>
        <v>0</v>
      </c>
      <c r="M14" s="298" t="n">
        <f aca="false">Debt!L82</f>
        <v>0</v>
      </c>
      <c r="N14" s="298" t="n">
        <f aca="false">Debt!M82</f>
        <v>0</v>
      </c>
      <c r="O14" s="298" t="n">
        <f aca="false">Debt!N82</f>
        <v>0</v>
      </c>
      <c r="P14" s="298" t="n">
        <f aca="false">Debt!O82</f>
        <v>0</v>
      </c>
      <c r="Q14" s="298" t="n">
        <f aca="false">Debt!P82</f>
        <v>0</v>
      </c>
      <c r="R14" s="298" t="n">
        <f aca="false">Debt!Q82</f>
        <v>0</v>
      </c>
      <c r="S14" s="298" t="n">
        <f aca="false">Debt!R82</f>
        <v>0</v>
      </c>
      <c r="T14" s="298" t="n">
        <f aca="false">Debt!S82</f>
        <v>0</v>
      </c>
      <c r="U14" s="298" t="n">
        <f aca="false">Debt!T82</f>
        <v>0</v>
      </c>
      <c r="V14" s="298" t="n">
        <f aca="false">Debt!U82</f>
        <v>0</v>
      </c>
      <c r="W14" s="298" t="n">
        <f aca="false">Debt!V82</f>
        <v>0</v>
      </c>
      <c r="X14" s="298" t="n">
        <f aca="false">Debt!W82</f>
        <v>0</v>
      </c>
      <c r="Y14" s="298" t="n">
        <f aca="false">Debt!X82</f>
        <v>0</v>
      </c>
      <c r="Z14" s="298" t="n">
        <f aca="false">Debt!Y82</f>
        <v>0</v>
      </c>
      <c r="AA14" s="298" t="n">
        <f aca="false">Debt!Z82</f>
        <v>0</v>
      </c>
      <c r="AB14" s="298" t="n">
        <f aca="false">Debt!AA82</f>
        <v>0</v>
      </c>
      <c r="AC14" s="298" t="n">
        <f aca="false">Debt!AB82</f>
        <v>0</v>
      </c>
      <c r="AD14" s="298" t="n">
        <f aca="false">Debt!AC82</f>
        <v>0</v>
      </c>
      <c r="AE14" s="298" t="n">
        <f aca="false">Debt!AD82</f>
        <v>0</v>
      </c>
      <c r="AF14" s="298" t="n">
        <f aca="false">Debt!AE82</f>
        <v>0</v>
      </c>
      <c r="AG14" s="298" t="n">
        <f aca="false">Debt!AF82</f>
        <v>0</v>
      </c>
    </row>
    <row r="15" customFormat="false" ht="12.75" hidden="false" customHeight="false" outlineLevel="0" collapsed="false">
      <c r="A15" s="300" t="s">
        <v>238</v>
      </c>
      <c r="B15" s="298" t="n">
        <v>0</v>
      </c>
      <c r="C15" s="298" t="n">
        <f aca="false">-Debt!B87</f>
        <v>-4434.23401529842</v>
      </c>
      <c r="D15" s="298" t="n">
        <f aca="false">-Debt!C87</f>
        <v>-4434.23401529842</v>
      </c>
      <c r="E15" s="298" t="n">
        <f aca="false">-Debt!D87</f>
        <v>-4434.23401529842</v>
      </c>
      <c r="F15" s="298" t="n">
        <f aca="false">-Debt!E87</f>
        <v>-4434.23401529842</v>
      </c>
      <c r="G15" s="298" t="n">
        <f aca="false">-Debt!F87</f>
        <v>-4434.23401529842</v>
      </c>
      <c r="H15" s="298" t="n">
        <f aca="false">-Debt!G87</f>
        <v>-4434.23401529842</v>
      </c>
      <c r="I15" s="298" t="n">
        <f aca="false">-Debt!H87</f>
        <v>-4434.23401529842</v>
      </c>
      <c r="J15" s="298" t="n">
        <f aca="false">-Debt!I87</f>
        <v>-4434.23401529842</v>
      </c>
      <c r="K15" s="298" t="n">
        <f aca="false">-Debt!J87</f>
        <v>-4434.23401529842</v>
      </c>
      <c r="L15" s="298" t="n">
        <f aca="false">-Debt!K87</f>
        <v>-4434.23401529842</v>
      </c>
      <c r="M15" s="298" t="n">
        <f aca="false">-Debt!L87</f>
        <v>-4434.23401529842</v>
      </c>
      <c r="N15" s="298" t="n">
        <f aca="false">-Debt!M87</f>
        <v>-4434.23401529842</v>
      </c>
      <c r="O15" s="298" t="n">
        <f aca="false">-Debt!N87</f>
        <v>-4434.23401529842</v>
      </c>
      <c r="P15" s="298" t="n">
        <f aca="false">-Debt!O87</f>
        <v>-4434.23401529842</v>
      </c>
      <c r="Q15" s="298" t="n">
        <f aca="false">-Debt!P87</f>
        <v>-4434.23401529842</v>
      </c>
      <c r="R15" s="298" t="n">
        <f aca="false">-Debt!Q87</f>
        <v>-4434.23401529842</v>
      </c>
      <c r="S15" s="298" t="n">
        <f aca="false">-Debt!R87</f>
        <v>-4434.23401529842</v>
      </c>
      <c r="T15" s="298" t="n">
        <f aca="false">-Debt!S87</f>
        <v>-4434.23401529842</v>
      </c>
      <c r="U15" s="298" t="n">
        <f aca="false">-Debt!T87</f>
        <v>-4434.23401529842</v>
      </c>
      <c r="V15" s="298" t="n">
        <f aca="false">-Debt!U87</f>
        <v>-4434.23401529842</v>
      </c>
      <c r="W15" s="298" t="n">
        <f aca="false">-Debt!V87</f>
        <v>-4434.23401529842</v>
      </c>
      <c r="X15" s="298" t="n">
        <f aca="false">-Debt!W87</f>
        <v>-0</v>
      </c>
      <c r="Y15" s="298" t="n">
        <f aca="false">-Debt!X87</f>
        <v>-0</v>
      </c>
      <c r="Z15" s="298" t="n">
        <f aca="false">-Debt!Y87</f>
        <v>-0</v>
      </c>
      <c r="AA15" s="298" t="n">
        <f aca="false">-Debt!Z87</f>
        <v>-0</v>
      </c>
      <c r="AB15" s="298" t="n">
        <f aca="false">-Debt!AA87</f>
        <v>-0</v>
      </c>
      <c r="AC15" s="298" t="n">
        <f aca="false">-Debt!AB87</f>
        <v>-0</v>
      </c>
      <c r="AD15" s="298" t="n">
        <f aca="false">-Debt!AC87</f>
        <v>-0</v>
      </c>
      <c r="AE15" s="298" t="n">
        <f aca="false">-Debt!AD87</f>
        <v>-0</v>
      </c>
      <c r="AF15" s="298" t="n">
        <f aca="false">-Debt!AE87</f>
        <v>-0</v>
      </c>
      <c r="AG15" s="298" t="n">
        <f aca="false">-Debt!AF87</f>
        <v>-0</v>
      </c>
    </row>
    <row r="16" customFormat="false" ht="12.75" hidden="false" customHeight="false" outlineLevel="0" collapsed="false">
      <c r="A16" s="300" t="s">
        <v>239</v>
      </c>
      <c r="B16" s="280" t="n">
        <v>0</v>
      </c>
      <c r="C16" s="280" t="n">
        <f aca="false">-Debt!B86</f>
        <v>-3879.95476338612</v>
      </c>
      <c r="D16" s="280" t="n">
        <f aca="false">-Debt!C86</f>
        <v>-7371.91405043362</v>
      </c>
      <c r="E16" s="280" t="n">
        <f aca="false">-Debt!D86</f>
        <v>-7061.51766936273</v>
      </c>
      <c r="F16" s="280" t="n">
        <f aca="false">-Debt!E86</f>
        <v>-6751.12128829184</v>
      </c>
      <c r="G16" s="280" t="n">
        <f aca="false">-Debt!F86</f>
        <v>-6440.72490722095</v>
      </c>
      <c r="H16" s="280" t="n">
        <f aca="false">-Debt!G86</f>
        <v>-6130.32852615006</v>
      </c>
      <c r="I16" s="280" t="n">
        <f aca="false">-Debt!H86</f>
        <v>-5819.93214507917</v>
      </c>
      <c r="J16" s="280" t="n">
        <f aca="false">-Debt!I86</f>
        <v>-5509.53576400828</v>
      </c>
      <c r="K16" s="280" t="n">
        <f aca="false">-Debt!J86</f>
        <v>-5199.1393829374</v>
      </c>
      <c r="L16" s="280" t="n">
        <f aca="false">-Debt!K86</f>
        <v>-4888.74300186651</v>
      </c>
      <c r="M16" s="280" t="n">
        <f aca="false">-Debt!L86</f>
        <v>-4578.34662079562</v>
      </c>
      <c r="N16" s="280" t="n">
        <f aca="false">-Debt!M86</f>
        <v>-4267.95023972473</v>
      </c>
      <c r="O16" s="280" t="n">
        <f aca="false">-Debt!N86</f>
        <v>-3957.55385865384</v>
      </c>
      <c r="P16" s="280" t="n">
        <f aca="false">-Debt!O86</f>
        <v>-3647.15747758295</v>
      </c>
      <c r="Q16" s="280" t="n">
        <f aca="false">-Debt!P86</f>
        <v>-3336.76109651206</v>
      </c>
      <c r="R16" s="280" t="n">
        <f aca="false">-Debt!Q86</f>
        <v>-3026.36471544117</v>
      </c>
      <c r="S16" s="280" t="n">
        <f aca="false">-Debt!R86</f>
        <v>-2715.96833437028</v>
      </c>
      <c r="T16" s="280" t="n">
        <f aca="false">-Debt!S86</f>
        <v>-2405.57195329939</v>
      </c>
      <c r="U16" s="280" t="n">
        <f aca="false">-Debt!T86</f>
        <v>-2095.1755722285</v>
      </c>
      <c r="V16" s="280" t="n">
        <f aca="false">-Debt!U86</f>
        <v>-1784.77919115761</v>
      </c>
      <c r="W16" s="280" t="n">
        <f aca="false">-Debt!V86</f>
        <v>-1474.38281008672</v>
      </c>
      <c r="X16" s="280" t="n">
        <f aca="false">-Debt!W86</f>
        <v>-1241.58552428355</v>
      </c>
      <c r="Y16" s="280" t="n">
        <f aca="false">-Debt!X86</f>
        <v>-1241.58552428355</v>
      </c>
      <c r="Z16" s="280" t="n">
        <f aca="false">-Debt!Y86</f>
        <v>-1241.58552428355</v>
      </c>
      <c r="AA16" s="280" t="n">
        <f aca="false">-Debt!Z86</f>
        <v>-1241.58552428355</v>
      </c>
      <c r="AB16" s="280" t="n">
        <f aca="false">-Debt!AA86</f>
        <v>-1241.58552428355</v>
      </c>
      <c r="AC16" s="280" t="n">
        <f aca="false">-Debt!AB86</f>
        <v>-1241.58552428355</v>
      </c>
      <c r="AD16" s="280" t="n">
        <f aca="false">-Debt!AC86</f>
        <v>-1241.58552428355</v>
      </c>
      <c r="AE16" s="280" t="n">
        <f aca="false">-Debt!AD86</f>
        <v>-1241.58552428355</v>
      </c>
      <c r="AF16" s="280" t="n">
        <f aca="false">-Debt!AE86</f>
        <v>-1241.58552428355</v>
      </c>
      <c r="AG16" s="280" t="n">
        <f aca="false">-Debt!AF86</f>
        <v>-1241.58552428355</v>
      </c>
    </row>
    <row r="17" customFormat="false" ht="12.75" hidden="false" customHeight="false" outlineLevel="0" collapsed="false">
      <c r="A17" s="300"/>
      <c r="B17" s="298"/>
      <c r="C17" s="298"/>
      <c r="D17" s="298"/>
      <c r="E17" s="298"/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  <c r="Z17" s="298"/>
      <c r="AA17" s="298"/>
      <c r="AB17" s="298"/>
      <c r="AC17" s="298"/>
      <c r="AD17" s="298"/>
      <c r="AE17" s="298"/>
      <c r="AF17" s="298"/>
      <c r="AG17" s="298"/>
    </row>
    <row r="18" customFormat="false" ht="12.75" hidden="false" customHeight="false" outlineLevel="0" collapsed="false">
      <c r="A18" s="297" t="s">
        <v>240</v>
      </c>
      <c r="B18" s="301" t="n">
        <v>0</v>
      </c>
      <c r="C18" s="301" t="n">
        <f aca="false">SUM(C12:C16)</f>
        <v>-2005.80725868454</v>
      </c>
      <c r="D18" s="302" t="n">
        <f aca="false">SUM(D12:D16)</f>
        <v>-2059.22410013204</v>
      </c>
      <c r="E18" s="302" t="n">
        <f aca="false">SUM(E12:E16)</f>
        <v>-7502.23600009315</v>
      </c>
      <c r="F18" s="302" t="n">
        <f aca="false">SUM(F12:F16)</f>
        <v>-439.376340225759</v>
      </c>
      <c r="G18" s="302" t="n">
        <f aca="false">SUM(G12:G16)</f>
        <v>319.04554058786</v>
      </c>
      <c r="H18" s="302" t="n">
        <f aca="false">SUM(H12:H16)</f>
        <v>738.111946535877</v>
      </c>
      <c r="I18" s="302" t="n">
        <f aca="false">SUM(I12:I16)</f>
        <v>1153.62805655172</v>
      </c>
      <c r="J18" s="302" t="n">
        <f aca="false">SUM(J12:J16)</f>
        <v>1565.28304985707</v>
      </c>
      <c r="K18" s="302" t="n">
        <f aca="false">SUM(K12:K16)</f>
        <v>2220.81412940288</v>
      </c>
      <c r="L18" s="302" t="n">
        <f aca="false">SUM(L12:L16)</f>
        <v>2631.19386786202</v>
      </c>
      <c r="M18" s="302" t="n">
        <f aca="false">SUM(M12:M16)</f>
        <v>3300.07848908372</v>
      </c>
      <c r="N18" s="302" t="n">
        <f aca="false">SUM(N12:N16)</f>
        <v>3708.65209770275</v>
      </c>
      <c r="O18" s="302" t="n">
        <f aca="false">SUM(O12:O16)</f>
        <v>4391.23668295541</v>
      </c>
      <c r="P18" s="302" t="n">
        <f aca="false">SUM(P12:P16)</f>
        <v>4797.41335584408</v>
      </c>
      <c r="Q18" s="302" t="n">
        <f aca="false">SUM(Q12:Q16)</f>
        <v>5197.8362307326</v>
      </c>
      <c r="R18" s="302" t="n">
        <f aca="false">SUM(R12:R16)</f>
        <v>5592.07387747832</v>
      </c>
      <c r="S18" s="302" t="n">
        <f aca="false">SUM(S12:S16)</f>
        <v>5979.67415854823</v>
      </c>
      <c r="T18" s="302" t="n">
        <f aca="false">SUM(T12:T16)</f>
        <v>6360.1633748627</v>
      </c>
      <c r="U18" s="302" t="n">
        <f aca="false">SUM(U12:U16)</f>
        <v>6733.04537902639</v>
      </c>
      <c r="V18" s="302" t="n">
        <f aca="false">SUM(V12:V16)</f>
        <v>7097.80065475853</v>
      </c>
      <c r="W18" s="302" t="n">
        <f aca="false">SUM(W12:W16)</f>
        <v>7453.88536129244</v>
      </c>
      <c r="X18" s="302" t="n">
        <f aca="false">SUM(X12:X16)</f>
        <v>12157.3652615017</v>
      </c>
      <c r="Y18" s="302" t="n">
        <f aca="false">SUM(Y12:Y16)</f>
        <v>12191.193686941</v>
      </c>
      <c r="Z18" s="302" t="n">
        <f aca="false">SUM(Z12:Z16)</f>
        <v>12222.3233335017</v>
      </c>
      <c r="AA18" s="302" t="n">
        <f aca="false">SUM(AA12:AA16)</f>
        <v>12250.6732378174</v>
      </c>
      <c r="AB18" s="302" t="n">
        <f aca="false">SUM(AB12:AB16)</f>
        <v>12276.160007621</v>
      </c>
      <c r="AC18" s="302" t="n">
        <f aca="false">SUM(AC12:AC16)</f>
        <v>12298.6977488769</v>
      </c>
      <c r="AD18" s="302" t="n">
        <f aca="false">SUM(AD12:AD16)</f>
        <v>12318.1979907288</v>
      </c>
      <c r="AE18" s="302" t="n">
        <f aca="false">SUM(AE12:AE16)</f>
        <v>12334.5696081945</v>
      </c>
      <c r="AF18" s="302" t="n">
        <f aca="false">SUM(AF12:AF16)</f>
        <v>12347.7187425424</v>
      </c>
      <c r="AG18" s="302" t="n">
        <f aca="false">SUM(AG12:AG16)</f>
        <v>12357.5487192791</v>
      </c>
    </row>
    <row r="19" customFormat="false" ht="12.75" hidden="false" customHeight="false" outlineLevel="0" collapsed="false">
      <c r="A19" s="297"/>
      <c r="B19" s="298"/>
      <c r="C19" s="298"/>
      <c r="D19" s="299"/>
      <c r="E19" s="299"/>
      <c r="F19" s="299"/>
      <c r="G19" s="299"/>
      <c r="H19" s="299"/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</row>
    <row r="20" customFormat="false" ht="12.75" hidden="false" customHeight="false" outlineLevel="0" collapsed="false">
      <c r="A20" s="268" t="s">
        <v>241</v>
      </c>
      <c r="B20" s="298" t="n">
        <v>0</v>
      </c>
      <c r="C20" s="299" t="n">
        <f aca="false">-Taxes!B30</f>
        <v>-0</v>
      </c>
      <c r="D20" s="299" t="n">
        <f aca="false">-Taxes!C30</f>
        <v>-0</v>
      </c>
      <c r="E20" s="299" t="n">
        <f aca="false">-Taxes!D30</f>
        <v>-0</v>
      </c>
      <c r="F20" s="299" t="n">
        <f aca="false">-Taxes!E30</f>
        <v>-0</v>
      </c>
      <c r="G20" s="299" t="n">
        <f aca="false">-Taxes!F30</f>
        <v>-0</v>
      </c>
      <c r="H20" s="299" t="n">
        <f aca="false">-Taxes!G30</f>
        <v>-0</v>
      </c>
      <c r="I20" s="299" t="n">
        <f aca="false">-Taxes!H30</f>
        <v>-0</v>
      </c>
      <c r="J20" s="299" t="n">
        <f aca="false">-Taxes!I30</f>
        <v>-0</v>
      </c>
      <c r="K20" s="299" t="n">
        <f aca="false">-Taxes!J30</f>
        <v>-0</v>
      </c>
      <c r="L20" s="299" t="n">
        <f aca="false">-Taxes!K30</f>
        <v>-0</v>
      </c>
      <c r="M20" s="299" t="n">
        <f aca="false">-Taxes!L30</f>
        <v>-0</v>
      </c>
      <c r="N20" s="299" t="n">
        <f aca="false">-Taxes!M30</f>
        <v>-0</v>
      </c>
      <c r="O20" s="299" t="n">
        <f aca="false">-Taxes!N30</f>
        <v>-0</v>
      </c>
      <c r="P20" s="299" t="n">
        <f aca="false">-Taxes!O30</f>
        <v>-0</v>
      </c>
      <c r="Q20" s="299" t="n">
        <f aca="false">-Taxes!P30</f>
        <v>-0</v>
      </c>
      <c r="R20" s="299" t="n">
        <f aca="false">-Taxes!Q30</f>
        <v>-0</v>
      </c>
      <c r="S20" s="299" t="n">
        <f aca="false">-Taxes!R30</f>
        <v>-0</v>
      </c>
      <c r="T20" s="299" t="n">
        <f aca="false">-Taxes!S30</f>
        <v>-0</v>
      </c>
      <c r="U20" s="299" t="n">
        <f aca="false">-Taxes!T30</f>
        <v>-636.904763659489</v>
      </c>
      <c r="V20" s="299" t="n">
        <f aca="false">-Taxes!U30</f>
        <v>-658.790080203417</v>
      </c>
      <c r="W20" s="299" t="n">
        <f aca="false">-Taxes!V30</f>
        <v>-702.243162595452</v>
      </c>
      <c r="X20" s="299" t="n">
        <f aca="false">-Taxes!W30</f>
        <v>-729.441915690105</v>
      </c>
      <c r="Y20" s="299" t="n">
        <f aca="false">-Taxes!X30</f>
        <v>-731.471621216458</v>
      </c>
      <c r="Z20" s="299" t="n">
        <f aca="false">-Taxes!Y30</f>
        <v>-733.339400010099</v>
      </c>
      <c r="AA20" s="299" t="n">
        <f aca="false">-Taxes!Z30</f>
        <v>-735.040394269046</v>
      </c>
      <c r="AB20" s="299" t="n">
        <f aca="false">-Taxes!AA30</f>
        <v>-736.569600457258</v>
      </c>
      <c r="AC20" s="299" t="n">
        <f aca="false">-Taxes!AB30</f>
        <v>-737.921864932613</v>
      </c>
      <c r="AD20" s="299" t="n">
        <f aca="false">-Taxes!AC30</f>
        <v>-739.091879443727</v>
      </c>
      <c r="AE20" s="299" t="n">
        <f aca="false">-Taxes!AD30</f>
        <v>-740.074176491669</v>
      </c>
      <c r="AF20" s="299" t="n">
        <f aca="false">-Taxes!AE30</f>
        <v>-740.863124552546</v>
      </c>
      <c r="AG20" s="299" t="n">
        <f aca="false">-Taxes!AF30</f>
        <v>-741.452923156747</v>
      </c>
    </row>
    <row r="21" customFormat="false" ht="12.75" hidden="false" customHeight="false" outlineLevel="0" collapsed="false">
      <c r="A21" s="268" t="s">
        <v>242</v>
      </c>
      <c r="B21" s="280" t="n">
        <v>0</v>
      </c>
      <c r="C21" s="280" t="n">
        <f aca="false">-Taxes!B41</f>
        <v>1196.49480185181</v>
      </c>
      <c r="D21" s="280" t="n">
        <f aca="false">-Taxes!C41</f>
        <v>3005.45177969177</v>
      </c>
      <c r="E21" s="280" t="n">
        <f aca="false">-Taxes!D41</f>
        <v>4546.16241967816</v>
      </c>
      <c r="F21" s="280" t="n">
        <f aca="false">-Taxes!E41</f>
        <v>1748.16996372457</v>
      </c>
      <c r="G21" s="280" t="n">
        <f aca="false">-Taxes!F41</f>
        <v>1187.4122904398</v>
      </c>
      <c r="H21" s="280" t="n">
        <f aca="false">-Taxes!G41</f>
        <v>772.275398357996</v>
      </c>
      <c r="I21" s="280" t="n">
        <f aca="false">-Taxes!H41</f>
        <v>500.283324852451</v>
      </c>
      <c r="J21" s="280" t="n">
        <f aca="false">-Taxes!I41</f>
        <v>360.039272195577</v>
      </c>
      <c r="K21" s="280" t="n">
        <f aca="false">-Taxes!J41</f>
        <v>126.768199354546</v>
      </c>
      <c r="L21" s="280" t="n">
        <f aca="false">-Taxes!K41</f>
        <v>-13.0295141061544</v>
      </c>
      <c r="M21" s="280" t="n">
        <f aca="false">-Taxes!L41</f>
        <v>-250.974326533749</v>
      </c>
      <c r="N21" s="280" t="n">
        <f aca="false">-Taxes!M41</f>
        <v>-390.139894550408</v>
      </c>
      <c r="O21" s="280" t="n">
        <f aca="false">-Taxes!N41</f>
        <v>-632.879694388842</v>
      </c>
      <c r="P21" s="280" t="n">
        <f aca="false">-Taxes!O41</f>
        <v>-771.206334899875</v>
      </c>
      <c r="Q21" s="280" t="n">
        <f aca="false">-Taxes!P41</f>
        <v>-915.189536110856</v>
      </c>
      <c r="R21" s="280" t="n">
        <f aca="false">-Taxes!Q41</f>
        <v>-2184.55523747186</v>
      </c>
      <c r="S21" s="280" t="n">
        <f aca="false">-Taxes!R41</f>
        <v>-3451.59786084633</v>
      </c>
      <c r="T21" s="280" t="n">
        <f aca="false">-Taxes!S41</f>
        <v>-3584.76908655639</v>
      </c>
      <c r="U21" s="280" t="n">
        <f aca="false">-Taxes!T41</f>
        <v>-3492.36112073286</v>
      </c>
      <c r="V21" s="280" t="n">
        <f aca="false">-Taxes!U41</f>
        <v>-3612.36560644874</v>
      </c>
      <c r="W21" s="280" t="n">
        <f aca="false">-Taxes!V41</f>
        <v>-3850.63334156506</v>
      </c>
      <c r="X21" s="280" t="n">
        <f aca="false">-Taxes!W41</f>
        <v>-3999.77317103407</v>
      </c>
      <c r="Y21" s="280" t="n">
        <f aca="false">-Taxes!X41</f>
        <v>-4010.90272300358</v>
      </c>
      <c r="Z21" s="280" t="n">
        <f aca="false">-Taxes!Y41</f>
        <v>-4021.14437672205</v>
      </c>
      <c r="AA21" s="280" t="n">
        <f aca="false">-Taxes!Z41</f>
        <v>-4030.47149524194</v>
      </c>
      <c r="AB21" s="280" t="n">
        <f aca="false">-Taxes!AA41</f>
        <v>-4038.8566425073</v>
      </c>
      <c r="AC21" s="280" t="n">
        <f aca="false">-Taxes!AB41</f>
        <v>-4046.2715593805</v>
      </c>
      <c r="AD21" s="280" t="n">
        <f aca="false">-Taxes!AC41</f>
        <v>-4052.68713894977</v>
      </c>
      <c r="AE21" s="280" t="n">
        <f aca="false">-Taxes!AD41</f>
        <v>-4058.07340109598</v>
      </c>
      <c r="AF21" s="280" t="n">
        <f aca="false">-Taxes!AE41</f>
        <v>-4062.39946629646</v>
      </c>
      <c r="AG21" s="280" t="n">
        <f aca="false">-Taxes!AF41</f>
        <v>-4065.63352864283</v>
      </c>
    </row>
    <row r="22" customFormat="false" ht="12.75" hidden="false" customHeight="false" outlineLevel="0" collapsed="false">
      <c r="A22" s="300"/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3"/>
      <c r="R22" s="303"/>
      <c r="S22" s="303"/>
      <c r="T22" s="303"/>
      <c r="U22" s="303"/>
      <c r="V22" s="303"/>
      <c r="W22" s="303"/>
      <c r="X22" s="303"/>
      <c r="Y22" s="303"/>
      <c r="Z22" s="303"/>
      <c r="AA22" s="303"/>
      <c r="AB22" s="303"/>
      <c r="AC22" s="303"/>
      <c r="AD22" s="303"/>
      <c r="AE22" s="303"/>
      <c r="AF22" s="303"/>
      <c r="AG22" s="303"/>
    </row>
    <row r="23" customFormat="false" ht="12.75" hidden="false" customHeight="false" outlineLevel="0" collapsed="false">
      <c r="A23" s="297" t="s">
        <v>243</v>
      </c>
      <c r="B23" s="301" t="n">
        <v>0</v>
      </c>
      <c r="C23" s="301" t="n">
        <f aca="false">C18+C21+C20</f>
        <v>-809.31245683273</v>
      </c>
      <c r="D23" s="301" t="n">
        <f aca="false">D18+D21+D20</f>
        <v>946.227679559725</v>
      </c>
      <c r="E23" s="301" t="n">
        <f aca="false">E18+E21+E20</f>
        <v>-2956.073580415</v>
      </c>
      <c r="F23" s="301" t="n">
        <f aca="false">F18+F21+F20</f>
        <v>1308.79362349881</v>
      </c>
      <c r="G23" s="301" t="n">
        <f aca="false">G18+G21+G20</f>
        <v>1506.45783102766</v>
      </c>
      <c r="H23" s="301" t="n">
        <f aca="false">H18+H21+H20</f>
        <v>1510.38734489387</v>
      </c>
      <c r="I23" s="301" t="n">
        <f aca="false">I18+I21+I20</f>
        <v>1653.91138140417</v>
      </c>
      <c r="J23" s="301" t="n">
        <f aca="false">J18+J21+J20</f>
        <v>1925.32232205265</v>
      </c>
      <c r="K23" s="301" t="n">
        <f aca="false">K18+K21+K20</f>
        <v>2347.58232875742</v>
      </c>
      <c r="L23" s="301" t="n">
        <f aca="false">L18+L21+L20</f>
        <v>2618.16435375587</v>
      </c>
      <c r="M23" s="301" t="n">
        <f aca="false">M18+M21+M20</f>
        <v>3049.10416254997</v>
      </c>
      <c r="N23" s="301" t="n">
        <f aca="false">N18+N21+N20</f>
        <v>3318.51220315234</v>
      </c>
      <c r="O23" s="301" t="n">
        <f aca="false">O18+O21+O20</f>
        <v>3758.35698856657</v>
      </c>
      <c r="P23" s="301" t="n">
        <f aca="false">P18+P21+P20</f>
        <v>4026.20702094421</v>
      </c>
      <c r="Q23" s="301" t="n">
        <f aca="false">Q18+Q21+Q20</f>
        <v>4282.64669462174</v>
      </c>
      <c r="R23" s="301" t="n">
        <f aca="false">R18+R21+R20</f>
        <v>3407.51864000646</v>
      </c>
      <c r="S23" s="301" t="n">
        <f aca="false">S18+S21+S20</f>
        <v>2528.07629770191</v>
      </c>
      <c r="T23" s="301" t="n">
        <f aca="false">T18+T21+T20</f>
        <v>2775.39428830631</v>
      </c>
      <c r="U23" s="301" t="n">
        <f aca="false">U18+U21+U20</f>
        <v>2603.77949463404</v>
      </c>
      <c r="V23" s="301" t="n">
        <f aca="false">V18+V21+V20</f>
        <v>2826.64496810638</v>
      </c>
      <c r="W23" s="301" t="n">
        <f aca="false">W18+W21+W20</f>
        <v>2901.00885713193</v>
      </c>
      <c r="X23" s="301" t="n">
        <f aca="false">X18+X21+X20</f>
        <v>7428.15017477757</v>
      </c>
      <c r="Y23" s="301" t="n">
        <f aca="false">Y18+Y21+Y20</f>
        <v>7448.81934272093</v>
      </c>
      <c r="Z23" s="301" t="n">
        <f aca="false">Z18+Z21+Z20</f>
        <v>7467.83955676951</v>
      </c>
      <c r="AA23" s="301" t="n">
        <f aca="false">AA18+AA21+AA20</f>
        <v>7485.16134830646</v>
      </c>
      <c r="AB23" s="301" t="n">
        <f aca="false">AB18+AB21+AB20</f>
        <v>7500.73376465641</v>
      </c>
      <c r="AC23" s="301" t="n">
        <f aca="false">AC18+AC21+AC20</f>
        <v>7514.50432456378</v>
      </c>
      <c r="AD23" s="301" t="n">
        <f aca="false">AD18+AD21+AD20</f>
        <v>7526.41897233528</v>
      </c>
      <c r="AE23" s="301" t="n">
        <f aca="false">AE18+AE21+AE20</f>
        <v>7536.42203060683</v>
      </c>
      <c r="AF23" s="301" t="n">
        <f aca="false">AF18+AF21+AF20</f>
        <v>7544.45615169343</v>
      </c>
      <c r="AG23" s="301" t="n">
        <f aca="false">AG18+AG21+AG20</f>
        <v>7550.46226747954</v>
      </c>
      <c r="AH23" s="304"/>
      <c r="AI23" s="304"/>
      <c r="AJ23" s="304"/>
      <c r="AK23" s="304"/>
      <c r="AL23" s="304"/>
      <c r="AM23" s="304"/>
      <c r="AN23" s="304"/>
      <c r="AO23" s="304"/>
      <c r="AP23" s="304"/>
      <c r="AQ23" s="304"/>
      <c r="AR23" s="304"/>
      <c r="AS23" s="304"/>
      <c r="AT23" s="304"/>
      <c r="AU23" s="304"/>
      <c r="AV23" s="304"/>
      <c r="AW23" s="304"/>
      <c r="AX23" s="304"/>
      <c r="AY23" s="304"/>
      <c r="AZ23" s="304"/>
      <c r="BA23" s="304"/>
      <c r="BB23" s="304"/>
      <c r="BC23" s="304"/>
      <c r="BD23" s="304"/>
      <c r="BE23" s="304"/>
      <c r="BF23" s="304"/>
      <c r="BG23" s="304"/>
      <c r="BH23" s="304"/>
      <c r="BI23" s="304"/>
      <c r="BJ23" s="304"/>
      <c r="BK23" s="304"/>
      <c r="BL23" s="304"/>
      <c r="BM23" s="304"/>
      <c r="BN23" s="304"/>
      <c r="BO23" s="304"/>
      <c r="BP23" s="304"/>
      <c r="BQ23" s="304"/>
      <c r="BR23" s="304"/>
      <c r="BS23" s="304"/>
      <c r="BT23" s="304"/>
      <c r="BU23" s="304"/>
      <c r="BV23" s="304"/>
      <c r="BW23" s="304"/>
      <c r="BX23" s="304"/>
      <c r="BY23" s="304"/>
      <c r="BZ23" s="304"/>
      <c r="CA23" s="304"/>
      <c r="CB23" s="304"/>
      <c r="CC23" s="304"/>
      <c r="CD23" s="304"/>
      <c r="CE23" s="304"/>
      <c r="CF23" s="304"/>
      <c r="CG23" s="304"/>
      <c r="CH23" s="304"/>
      <c r="CI23" s="304"/>
      <c r="CJ23" s="304"/>
      <c r="CK23" s="304"/>
      <c r="CL23" s="304"/>
      <c r="CM23" s="304"/>
      <c r="CN23" s="304"/>
      <c r="CO23" s="304"/>
      <c r="CP23" s="304"/>
      <c r="CQ23" s="304"/>
      <c r="CR23" s="304"/>
      <c r="CS23" s="304"/>
      <c r="CT23" s="304"/>
      <c r="CU23" s="304"/>
      <c r="CV23" s="304"/>
      <c r="CW23" s="304"/>
      <c r="CX23" s="304"/>
      <c r="CY23" s="304"/>
      <c r="CZ23" s="304"/>
      <c r="DA23" s="304"/>
      <c r="DB23" s="304"/>
      <c r="DC23" s="304"/>
      <c r="DD23" s="304"/>
      <c r="DE23" s="304"/>
      <c r="DF23" s="304"/>
      <c r="DG23" s="304"/>
      <c r="DH23" s="304"/>
      <c r="DI23" s="304"/>
      <c r="DJ23" s="304"/>
      <c r="DK23" s="304"/>
      <c r="DL23" s="304"/>
      <c r="DM23" s="304"/>
      <c r="DN23" s="304"/>
      <c r="DO23" s="304"/>
      <c r="DP23" s="304"/>
      <c r="DQ23" s="304"/>
      <c r="DR23" s="304"/>
      <c r="DS23" s="304"/>
      <c r="DT23" s="304"/>
      <c r="DU23" s="304"/>
      <c r="DV23" s="304"/>
      <c r="DW23" s="304"/>
      <c r="DX23" s="304"/>
      <c r="DY23" s="304"/>
      <c r="DZ23" s="304"/>
      <c r="EA23" s="304"/>
      <c r="EB23" s="304"/>
      <c r="EC23" s="304"/>
      <c r="ED23" s="304"/>
      <c r="EE23" s="304"/>
      <c r="EF23" s="304"/>
      <c r="EG23" s="304"/>
      <c r="EH23" s="304"/>
      <c r="EI23" s="304"/>
      <c r="EJ23" s="304"/>
      <c r="EK23" s="304"/>
      <c r="EL23" s="304"/>
      <c r="EM23" s="304"/>
      <c r="EN23" s="304"/>
      <c r="EO23" s="304"/>
      <c r="EP23" s="304"/>
      <c r="EQ23" s="304"/>
      <c r="ER23" s="304"/>
      <c r="ES23" s="304"/>
      <c r="ET23" s="304"/>
      <c r="EU23" s="304"/>
      <c r="EV23" s="304"/>
      <c r="EW23" s="304"/>
      <c r="EX23" s="304"/>
      <c r="EY23" s="304"/>
      <c r="EZ23" s="304"/>
      <c r="FA23" s="304"/>
      <c r="FB23" s="304"/>
      <c r="FC23" s="304"/>
      <c r="FD23" s="304"/>
      <c r="FE23" s="304"/>
      <c r="FF23" s="304"/>
      <c r="FG23" s="304"/>
      <c r="FH23" s="304"/>
      <c r="FI23" s="304"/>
      <c r="FJ23" s="304"/>
      <c r="FK23" s="304"/>
      <c r="FL23" s="304"/>
      <c r="FM23" s="304"/>
      <c r="FN23" s="304"/>
      <c r="FO23" s="304"/>
      <c r="FP23" s="304"/>
      <c r="FQ23" s="304"/>
      <c r="FR23" s="304"/>
      <c r="FS23" s="304"/>
      <c r="FT23" s="304"/>
      <c r="FU23" s="304"/>
      <c r="FV23" s="304"/>
      <c r="FW23" s="304"/>
      <c r="FX23" s="304"/>
      <c r="FY23" s="304"/>
      <c r="FZ23" s="304"/>
      <c r="GA23" s="304"/>
      <c r="GB23" s="304"/>
      <c r="GC23" s="304"/>
      <c r="GD23" s="304"/>
      <c r="GE23" s="304"/>
      <c r="GF23" s="304"/>
      <c r="GG23" s="304"/>
      <c r="GH23" s="304"/>
      <c r="GI23" s="304"/>
      <c r="GJ23" s="304"/>
      <c r="GK23" s="304"/>
      <c r="GL23" s="304"/>
      <c r="GM23" s="304"/>
      <c r="GN23" s="304"/>
      <c r="GO23" s="304"/>
      <c r="GP23" s="304"/>
      <c r="GQ23" s="304"/>
      <c r="GR23" s="304"/>
      <c r="GS23" s="304"/>
      <c r="GT23" s="304"/>
      <c r="GU23" s="304"/>
      <c r="GV23" s="304"/>
      <c r="GW23" s="304"/>
      <c r="GX23" s="304"/>
      <c r="GY23" s="304"/>
      <c r="GZ23" s="304"/>
      <c r="HA23" s="304"/>
      <c r="HB23" s="304"/>
      <c r="HC23" s="304"/>
      <c r="HD23" s="304"/>
      <c r="HE23" s="304"/>
      <c r="HF23" s="304"/>
      <c r="HG23" s="304"/>
      <c r="HH23" s="304"/>
      <c r="HI23" s="304"/>
      <c r="HJ23" s="304"/>
      <c r="HK23" s="304"/>
      <c r="HL23" s="304"/>
      <c r="HM23" s="304"/>
      <c r="HN23" s="304"/>
      <c r="HO23" s="304"/>
      <c r="HP23" s="304"/>
      <c r="HQ23" s="304"/>
      <c r="HR23" s="304"/>
      <c r="HS23" s="304"/>
      <c r="HT23" s="304"/>
      <c r="HU23" s="304"/>
      <c r="HV23" s="304"/>
      <c r="HW23" s="304"/>
      <c r="HX23" s="304"/>
      <c r="HY23" s="304"/>
      <c r="HZ23" s="304"/>
      <c r="IA23" s="304"/>
      <c r="IB23" s="304"/>
      <c r="IC23" s="304"/>
      <c r="ID23" s="304"/>
      <c r="IE23" s="304"/>
      <c r="IF23" s="304"/>
      <c r="IG23" s="304"/>
      <c r="IH23" s="304"/>
      <c r="II23" s="304"/>
      <c r="IJ23" s="304"/>
      <c r="IK23" s="304"/>
      <c r="IL23" s="304"/>
      <c r="IM23" s="304"/>
      <c r="IN23" s="304"/>
      <c r="IO23" s="304"/>
      <c r="IP23" s="304"/>
      <c r="IQ23" s="304"/>
      <c r="IR23" s="304"/>
      <c r="IS23" s="304"/>
      <c r="IT23" s="304"/>
      <c r="IU23" s="304"/>
      <c r="IV23" s="304"/>
      <c r="IW23" s="304"/>
    </row>
    <row r="24" customFormat="false" ht="12.75" hidden="false" customHeight="false" outlineLevel="0" collapsed="false">
      <c r="A24" s="300"/>
      <c r="B24" s="298"/>
      <c r="C24" s="298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</row>
    <row r="25" customFormat="false" ht="12.75" hidden="false" customHeight="false" outlineLevel="0" collapsed="false">
      <c r="A25" s="305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</row>
    <row r="26" customFormat="false" ht="18.75" hidden="false" customHeight="false" outlineLevel="0" collapsed="false">
      <c r="A26" s="6" t="s">
        <v>244</v>
      </c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</row>
    <row r="27" customFormat="false" ht="12.75" hidden="false" customHeight="false" outlineLevel="0" collapsed="false"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3"/>
      <c r="R27" s="293"/>
      <c r="S27" s="293"/>
      <c r="T27" s="293"/>
      <c r="U27" s="293"/>
      <c r="V27" s="293"/>
      <c r="W27" s="293"/>
      <c r="X27" s="293"/>
      <c r="Y27" s="293"/>
      <c r="Z27" s="293"/>
      <c r="AA27" s="293"/>
      <c r="AB27" s="293"/>
      <c r="AC27" s="293"/>
      <c r="AD27" s="293"/>
      <c r="AE27" s="293"/>
      <c r="AF27" s="293"/>
      <c r="AG27" s="293"/>
    </row>
    <row r="28" customFormat="false" ht="13.5" hidden="false" customHeight="false" outlineLevel="0" collapsed="false">
      <c r="A28" s="261" t="s">
        <v>206</v>
      </c>
      <c r="B28" s="262" t="n">
        <f aca="false">B9</f>
        <v>2001</v>
      </c>
      <c r="C28" s="262" t="n">
        <f aca="false">C9</f>
        <v>2002</v>
      </c>
      <c r="D28" s="262" t="n">
        <f aca="false">D9</f>
        <v>2003</v>
      </c>
      <c r="E28" s="262" t="n">
        <f aca="false">E9</f>
        <v>2004</v>
      </c>
      <c r="F28" s="262" t="n">
        <f aca="false">F9</f>
        <v>2005</v>
      </c>
      <c r="G28" s="262" t="n">
        <f aca="false">G9</f>
        <v>2006</v>
      </c>
      <c r="H28" s="262" t="n">
        <f aca="false">H9</f>
        <v>2007</v>
      </c>
      <c r="I28" s="262" t="n">
        <f aca="false">I9</f>
        <v>2008</v>
      </c>
      <c r="J28" s="262" t="n">
        <f aca="false">J9</f>
        <v>2009</v>
      </c>
      <c r="K28" s="262" t="n">
        <f aca="false">K9</f>
        <v>2010</v>
      </c>
      <c r="L28" s="262" t="n">
        <f aca="false">L9</f>
        <v>2011</v>
      </c>
      <c r="M28" s="262" t="n">
        <f aca="false">M9</f>
        <v>2012</v>
      </c>
      <c r="N28" s="262" t="n">
        <f aca="false">N9</f>
        <v>2013</v>
      </c>
      <c r="O28" s="262" t="n">
        <f aca="false">O9</f>
        <v>2014</v>
      </c>
      <c r="P28" s="262" t="n">
        <f aca="false">P9</f>
        <v>2015</v>
      </c>
      <c r="Q28" s="262" t="n">
        <f aca="false">Q9</f>
        <v>2016</v>
      </c>
      <c r="R28" s="262" t="n">
        <f aca="false">R9</f>
        <v>2017</v>
      </c>
      <c r="S28" s="262" t="n">
        <f aca="false">S9</f>
        <v>2018</v>
      </c>
      <c r="T28" s="262" t="n">
        <f aca="false">T9</f>
        <v>2019</v>
      </c>
      <c r="U28" s="262" t="n">
        <f aca="false">U9</f>
        <v>2020</v>
      </c>
      <c r="V28" s="262" t="n">
        <f aca="false">V9</f>
        <v>2021</v>
      </c>
      <c r="W28" s="262" t="n">
        <f aca="false">W9</f>
        <v>2022</v>
      </c>
      <c r="X28" s="262" t="n">
        <f aca="false">X9</f>
        <v>2023</v>
      </c>
      <c r="Y28" s="262" t="n">
        <f aca="false">Y9</f>
        <v>2024</v>
      </c>
      <c r="Z28" s="262" t="n">
        <f aca="false">Z9</f>
        <v>2025</v>
      </c>
      <c r="AA28" s="262" t="n">
        <f aca="false">AA9</f>
        <v>2026</v>
      </c>
      <c r="AB28" s="262" t="n">
        <f aca="false">AB9</f>
        <v>2027</v>
      </c>
      <c r="AC28" s="262" t="n">
        <f aca="false">AC9</f>
        <v>2028</v>
      </c>
      <c r="AD28" s="262" t="n">
        <f aca="false">AD9</f>
        <v>2029</v>
      </c>
      <c r="AE28" s="262" t="n">
        <f aca="false">AE9</f>
        <v>2030</v>
      </c>
      <c r="AF28" s="262" t="n">
        <f aca="false">AF9</f>
        <v>2031</v>
      </c>
      <c r="AG28" s="262" t="n">
        <f aca="false">AG9</f>
        <v>2032</v>
      </c>
    </row>
    <row r="29" customFormat="false" ht="14.25" hidden="false" customHeight="true" outlineLevel="0" collapsed="false">
      <c r="A29" s="306"/>
      <c r="B29" s="307" t="n">
        <f aca="false">B10</f>
        <v>37104</v>
      </c>
      <c r="C29" s="308" t="n">
        <f aca="false">IS!C8</f>
        <v>37620.5</v>
      </c>
      <c r="D29" s="308" t="n">
        <f aca="false">IS!D8</f>
        <v>37985.75</v>
      </c>
      <c r="E29" s="308" t="n">
        <f aca="false">IS!E8</f>
        <v>38351</v>
      </c>
      <c r="F29" s="308" t="n">
        <f aca="false">IS!F8</f>
        <v>38716.25</v>
      </c>
      <c r="G29" s="308" t="n">
        <f aca="false">IS!G8</f>
        <v>39081.5</v>
      </c>
      <c r="H29" s="308" t="n">
        <f aca="false">IS!H8</f>
        <v>39446.75</v>
      </c>
      <c r="I29" s="308" t="n">
        <f aca="false">IS!I8</f>
        <v>39812</v>
      </c>
      <c r="J29" s="308" t="n">
        <f aca="false">IS!J8</f>
        <v>40177.25</v>
      </c>
      <c r="K29" s="308" t="n">
        <f aca="false">IS!K8</f>
        <v>40542.5</v>
      </c>
      <c r="L29" s="308" t="n">
        <f aca="false">IS!L8</f>
        <v>40907.75</v>
      </c>
      <c r="M29" s="308" t="n">
        <f aca="false">IS!M8</f>
        <v>41273</v>
      </c>
      <c r="N29" s="308" t="n">
        <f aca="false">IS!N8</f>
        <v>41638.25</v>
      </c>
      <c r="O29" s="308" t="n">
        <f aca="false">IS!O8</f>
        <v>42003.5</v>
      </c>
      <c r="P29" s="308" t="n">
        <f aca="false">IS!P8</f>
        <v>42368.75</v>
      </c>
      <c r="Q29" s="308" t="n">
        <f aca="false">IS!Q8</f>
        <v>42734</v>
      </c>
      <c r="R29" s="308" t="n">
        <f aca="false">IS!R8</f>
        <v>43099.25</v>
      </c>
      <c r="S29" s="308" t="n">
        <f aca="false">IS!S8</f>
        <v>43464.5</v>
      </c>
      <c r="T29" s="308" t="n">
        <f aca="false">IS!T8</f>
        <v>43829.75</v>
      </c>
      <c r="U29" s="308" t="n">
        <f aca="false">IS!U8</f>
        <v>44195</v>
      </c>
      <c r="V29" s="308" t="n">
        <f aca="false">IS!V8</f>
        <v>44560.25</v>
      </c>
      <c r="W29" s="308" t="n">
        <f aca="false">IS!W8</f>
        <v>44925.5</v>
      </c>
      <c r="X29" s="308" t="n">
        <f aca="false">IS!X8</f>
        <v>45290.75</v>
      </c>
      <c r="Y29" s="308" t="n">
        <f aca="false">IS!Y8</f>
        <v>45656</v>
      </c>
      <c r="Z29" s="308" t="n">
        <f aca="false">IS!Z8</f>
        <v>46021.25</v>
      </c>
      <c r="AA29" s="308" t="n">
        <f aca="false">IS!AA8</f>
        <v>46386.5</v>
      </c>
      <c r="AB29" s="308" t="n">
        <f aca="false">IS!AB8</f>
        <v>46751.75</v>
      </c>
      <c r="AC29" s="308" t="n">
        <f aca="false">IS!AC8</f>
        <v>47117</v>
      </c>
      <c r="AD29" s="308" t="n">
        <f aca="false">IS!AD8</f>
        <v>47482.25</v>
      </c>
      <c r="AE29" s="308" t="n">
        <f aca="false">IS!AE8</f>
        <v>47847.5</v>
      </c>
      <c r="AF29" s="308" t="n">
        <f aca="false">IS!AF8</f>
        <v>48212.75</v>
      </c>
      <c r="AG29" s="308" t="n">
        <f aca="false">IS!AG8</f>
        <v>48578</v>
      </c>
    </row>
    <row r="30" customFormat="false" ht="12.75" hidden="false" customHeight="false" outlineLevel="0" collapsed="false">
      <c r="A30" s="305"/>
      <c r="J30" s="309"/>
      <c r="Y30" s="1"/>
      <c r="Z30" s="1"/>
    </row>
    <row r="31" customFormat="false" ht="12.75" hidden="false" customHeight="false" outlineLevel="0" collapsed="false">
      <c r="A31" s="297" t="s">
        <v>240</v>
      </c>
      <c r="B31" s="301" t="n">
        <v>0</v>
      </c>
      <c r="C31" s="301" t="n">
        <f aca="false">Assumptions!$B$68*C18</f>
        <v>-2005.80725868454</v>
      </c>
      <c r="D31" s="301" t="n">
        <f aca="false">Assumptions!$B$68*D18</f>
        <v>-2059.22410013204</v>
      </c>
      <c r="E31" s="301" t="n">
        <f aca="false">Assumptions!$B$68*E18</f>
        <v>-7502.23600009315</v>
      </c>
      <c r="F31" s="301" t="n">
        <f aca="false">Assumptions!$B$68*F18</f>
        <v>-439.376340225759</v>
      </c>
      <c r="G31" s="301" t="n">
        <f aca="false">Assumptions!$B$68*G18</f>
        <v>319.04554058786</v>
      </c>
      <c r="H31" s="301" t="n">
        <f aca="false">Assumptions!$B$68*H18</f>
        <v>738.111946535877</v>
      </c>
      <c r="I31" s="301" t="n">
        <f aca="false">Assumptions!$B$68*I18</f>
        <v>1153.62805655172</v>
      </c>
      <c r="J31" s="301" t="n">
        <f aca="false">Assumptions!$B$68*J18</f>
        <v>1565.28304985707</v>
      </c>
      <c r="K31" s="301" t="n">
        <f aca="false">Assumptions!$B$68*K18</f>
        <v>2220.81412940288</v>
      </c>
      <c r="L31" s="301" t="n">
        <f aca="false">Assumptions!$B$68*L18</f>
        <v>2631.19386786202</v>
      </c>
      <c r="M31" s="301" t="n">
        <f aca="false">Assumptions!$B$68*M18</f>
        <v>3300.07848908372</v>
      </c>
      <c r="N31" s="301" t="n">
        <f aca="false">Assumptions!$B$68*N18</f>
        <v>3708.65209770275</v>
      </c>
      <c r="O31" s="301" t="n">
        <f aca="false">Assumptions!$B$68*O18</f>
        <v>4391.23668295541</v>
      </c>
      <c r="P31" s="301" t="n">
        <f aca="false">Assumptions!$B$68*P18</f>
        <v>4797.41335584408</v>
      </c>
      <c r="Q31" s="301" t="n">
        <f aca="false">Assumptions!$B$68*Q18</f>
        <v>5197.8362307326</v>
      </c>
      <c r="R31" s="301" t="n">
        <f aca="false">Assumptions!$B$68*R18</f>
        <v>5592.07387747832</v>
      </c>
      <c r="S31" s="301" t="n">
        <f aca="false">Assumptions!$B$68*S18</f>
        <v>5979.67415854823</v>
      </c>
      <c r="T31" s="301" t="n">
        <f aca="false">Assumptions!$B$68*T18</f>
        <v>6360.1633748627</v>
      </c>
      <c r="U31" s="301" t="n">
        <f aca="false">Assumptions!$B$68*U18</f>
        <v>6733.04537902639</v>
      </c>
      <c r="V31" s="301" t="n">
        <f aca="false">Assumptions!$B$68*V18</f>
        <v>7097.80065475853</v>
      </c>
      <c r="W31" s="301" t="n">
        <f aca="false">Assumptions!$B$68*W18</f>
        <v>7453.88536129244</v>
      </c>
      <c r="X31" s="301" t="n">
        <f aca="false">Assumptions!$B$68*X18</f>
        <v>12157.3652615017</v>
      </c>
      <c r="Y31" s="301" t="n">
        <f aca="false">Assumptions!$B$68*Y18</f>
        <v>12191.193686941</v>
      </c>
      <c r="Z31" s="301" t="n">
        <f aca="false">Assumptions!$B$68*Z18</f>
        <v>12222.3233335017</v>
      </c>
      <c r="AA31" s="301" t="n">
        <f aca="false">Assumptions!$B$68*AA18</f>
        <v>12250.6732378174</v>
      </c>
      <c r="AB31" s="301" t="n">
        <f aca="false">Assumptions!$B$68*AB18</f>
        <v>12276.160007621</v>
      </c>
      <c r="AC31" s="301" t="n">
        <f aca="false">Assumptions!$B$68*AC18</f>
        <v>12298.6977488769</v>
      </c>
      <c r="AD31" s="301" t="n">
        <f aca="false">Assumptions!$B$68*AD18</f>
        <v>12318.1979907288</v>
      </c>
      <c r="AE31" s="301" t="n">
        <f aca="false">Assumptions!$B$68*AE18</f>
        <v>12334.5696081945</v>
      </c>
      <c r="AF31" s="301" t="n">
        <f aca="false">Assumptions!$B$68*AF18</f>
        <v>12347.7187425424</v>
      </c>
      <c r="AG31" s="301" t="n">
        <f aca="false">Assumptions!$B$68*AG18</f>
        <v>12357.5487192791</v>
      </c>
      <c r="AH31" s="304"/>
      <c r="AI31" s="304"/>
      <c r="AJ31" s="304"/>
      <c r="AK31" s="304"/>
      <c r="AL31" s="304"/>
      <c r="AM31" s="304"/>
      <c r="AN31" s="304"/>
      <c r="AO31" s="304"/>
      <c r="AP31" s="304"/>
      <c r="AQ31" s="304"/>
      <c r="AR31" s="304"/>
      <c r="AS31" s="304"/>
      <c r="AT31" s="304"/>
      <c r="AU31" s="304"/>
      <c r="AV31" s="304"/>
      <c r="AW31" s="304"/>
      <c r="AX31" s="304"/>
      <c r="AY31" s="304"/>
      <c r="AZ31" s="304"/>
      <c r="BA31" s="304"/>
      <c r="BB31" s="304"/>
      <c r="BC31" s="304"/>
      <c r="BD31" s="304"/>
      <c r="BE31" s="304"/>
      <c r="BF31" s="304"/>
      <c r="BG31" s="304"/>
      <c r="BH31" s="304"/>
      <c r="BI31" s="304"/>
      <c r="BJ31" s="304"/>
      <c r="BK31" s="304"/>
      <c r="BL31" s="304"/>
      <c r="BM31" s="304"/>
      <c r="BN31" s="304"/>
      <c r="BO31" s="304"/>
      <c r="BP31" s="304"/>
      <c r="BQ31" s="304"/>
      <c r="BR31" s="304"/>
      <c r="BS31" s="304"/>
      <c r="BT31" s="304"/>
      <c r="BU31" s="304"/>
      <c r="BV31" s="304"/>
      <c r="BW31" s="304"/>
      <c r="BX31" s="304"/>
      <c r="BY31" s="304"/>
      <c r="BZ31" s="304"/>
      <c r="CA31" s="304"/>
      <c r="CB31" s="304"/>
      <c r="CC31" s="304"/>
      <c r="CD31" s="304"/>
      <c r="CE31" s="304"/>
      <c r="CF31" s="304"/>
      <c r="CG31" s="304"/>
      <c r="CH31" s="304"/>
      <c r="CI31" s="304"/>
      <c r="CJ31" s="304"/>
      <c r="CK31" s="304"/>
      <c r="CL31" s="304"/>
      <c r="CM31" s="304"/>
      <c r="CN31" s="304"/>
      <c r="CO31" s="304"/>
      <c r="CP31" s="304"/>
      <c r="CQ31" s="304"/>
      <c r="CR31" s="304"/>
      <c r="CS31" s="304"/>
      <c r="CT31" s="304"/>
      <c r="CU31" s="304"/>
      <c r="CV31" s="304"/>
      <c r="CW31" s="304"/>
      <c r="CX31" s="304"/>
      <c r="CY31" s="304"/>
      <c r="CZ31" s="304"/>
      <c r="DA31" s="304"/>
      <c r="DB31" s="304"/>
      <c r="DC31" s="304"/>
      <c r="DD31" s="304"/>
      <c r="DE31" s="304"/>
      <c r="DF31" s="304"/>
      <c r="DG31" s="304"/>
      <c r="DH31" s="304"/>
      <c r="DI31" s="304"/>
      <c r="DJ31" s="304"/>
      <c r="DK31" s="304"/>
      <c r="DL31" s="304"/>
      <c r="DM31" s="304"/>
      <c r="DN31" s="304"/>
      <c r="DO31" s="304"/>
      <c r="DP31" s="304"/>
      <c r="DQ31" s="304"/>
      <c r="DR31" s="304"/>
      <c r="DS31" s="304"/>
      <c r="DT31" s="304"/>
      <c r="DU31" s="304"/>
      <c r="DV31" s="304"/>
      <c r="DW31" s="304"/>
      <c r="DX31" s="304"/>
      <c r="DY31" s="304"/>
      <c r="DZ31" s="304"/>
      <c r="EA31" s="304"/>
      <c r="EB31" s="304"/>
      <c r="EC31" s="304"/>
      <c r="ED31" s="304"/>
      <c r="EE31" s="304"/>
      <c r="EF31" s="304"/>
      <c r="EG31" s="304"/>
      <c r="EH31" s="304"/>
      <c r="EI31" s="304"/>
      <c r="EJ31" s="304"/>
      <c r="EK31" s="304"/>
      <c r="EL31" s="304"/>
      <c r="EM31" s="304"/>
      <c r="EN31" s="304"/>
      <c r="EO31" s="304"/>
      <c r="EP31" s="304"/>
      <c r="EQ31" s="304"/>
      <c r="ER31" s="304"/>
      <c r="ES31" s="304"/>
      <c r="ET31" s="304"/>
      <c r="EU31" s="304"/>
      <c r="EV31" s="304"/>
      <c r="EW31" s="304"/>
      <c r="EX31" s="304"/>
      <c r="EY31" s="304"/>
      <c r="EZ31" s="304"/>
      <c r="FA31" s="304"/>
      <c r="FB31" s="304"/>
      <c r="FC31" s="304"/>
      <c r="FD31" s="304"/>
      <c r="FE31" s="304"/>
      <c r="FF31" s="304"/>
      <c r="FG31" s="304"/>
      <c r="FH31" s="304"/>
      <c r="FI31" s="304"/>
      <c r="FJ31" s="304"/>
      <c r="FK31" s="304"/>
      <c r="FL31" s="304"/>
      <c r="FM31" s="304"/>
      <c r="FN31" s="304"/>
      <c r="FO31" s="304"/>
      <c r="FP31" s="304"/>
      <c r="FQ31" s="304"/>
      <c r="FR31" s="304"/>
      <c r="FS31" s="304"/>
      <c r="FT31" s="304"/>
      <c r="FU31" s="304"/>
      <c r="FV31" s="304"/>
      <c r="FW31" s="304"/>
      <c r="FX31" s="304"/>
      <c r="FY31" s="304"/>
      <c r="FZ31" s="304"/>
      <c r="GA31" s="304"/>
      <c r="GB31" s="304"/>
      <c r="GC31" s="304"/>
      <c r="GD31" s="304"/>
      <c r="GE31" s="304"/>
      <c r="GF31" s="304"/>
      <c r="GG31" s="304"/>
      <c r="GH31" s="304"/>
      <c r="GI31" s="304"/>
      <c r="GJ31" s="304"/>
      <c r="GK31" s="304"/>
      <c r="GL31" s="304"/>
      <c r="GM31" s="304"/>
      <c r="GN31" s="304"/>
      <c r="GO31" s="304"/>
      <c r="GP31" s="304"/>
      <c r="GQ31" s="304"/>
      <c r="GR31" s="304"/>
      <c r="GS31" s="304"/>
      <c r="GT31" s="304"/>
      <c r="GU31" s="304"/>
      <c r="GV31" s="304"/>
      <c r="GW31" s="304"/>
      <c r="GX31" s="304"/>
      <c r="GY31" s="304"/>
      <c r="GZ31" s="304"/>
      <c r="HA31" s="304"/>
      <c r="HB31" s="304"/>
      <c r="HC31" s="304"/>
      <c r="HD31" s="304"/>
      <c r="HE31" s="304"/>
      <c r="HF31" s="304"/>
      <c r="HG31" s="304"/>
      <c r="HH31" s="304"/>
      <c r="HI31" s="304"/>
      <c r="HJ31" s="304"/>
      <c r="HK31" s="304"/>
      <c r="HL31" s="304"/>
      <c r="HM31" s="304"/>
      <c r="HN31" s="304"/>
      <c r="HO31" s="304"/>
      <c r="HP31" s="304"/>
      <c r="HQ31" s="304"/>
      <c r="HR31" s="304"/>
      <c r="HS31" s="304"/>
      <c r="HT31" s="304"/>
      <c r="HU31" s="304"/>
      <c r="HV31" s="304"/>
      <c r="HW31" s="304"/>
      <c r="HX31" s="304"/>
      <c r="HY31" s="304"/>
      <c r="HZ31" s="304"/>
      <c r="IA31" s="304"/>
      <c r="IB31" s="304"/>
      <c r="IC31" s="304"/>
      <c r="ID31" s="304"/>
      <c r="IE31" s="304"/>
      <c r="IF31" s="304"/>
      <c r="IG31" s="304"/>
      <c r="IH31" s="304"/>
      <c r="II31" s="304"/>
      <c r="IJ31" s="304"/>
      <c r="IK31" s="304"/>
      <c r="IL31" s="304"/>
      <c r="IM31" s="304"/>
      <c r="IN31" s="304"/>
      <c r="IO31" s="304"/>
      <c r="IP31" s="304"/>
      <c r="IQ31" s="304"/>
      <c r="IR31" s="304"/>
      <c r="IS31" s="304"/>
      <c r="IT31" s="304"/>
      <c r="IU31" s="304"/>
      <c r="IV31" s="304"/>
      <c r="IW31" s="304"/>
    </row>
    <row r="32" customFormat="false" ht="12.75" hidden="false" customHeight="false" outlineLevel="0" collapsed="false">
      <c r="A32" s="297"/>
      <c r="B32" s="299"/>
      <c r="C32" s="299"/>
      <c r="D32" s="299"/>
      <c r="E32" s="299"/>
      <c r="F32" s="299"/>
      <c r="G32" s="299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</row>
    <row r="33" customFormat="false" ht="12.75" hidden="false" customHeight="false" outlineLevel="0" collapsed="false">
      <c r="A33" s="300" t="s">
        <v>245</v>
      </c>
      <c r="B33" s="298" t="n">
        <v>0</v>
      </c>
      <c r="C33" s="310" t="n">
        <f aca="false">Assumptions!$B$68*C20</f>
        <v>-0</v>
      </c>
      <c r="D33" s="310" t="n">
        <f aca="false">Assumptions!$B$68*D20</f>
        <v>-0</v>
      </c>
      <c r="E33" s="310" t="n">
        <f aca="false">Assumptions!$B$68*E20</f>
        <v>-0</v>
      </c>
      <c r="F33" s="310" t="n">
        <f aca="false">Assumptions!$B$68*F20</f>
        <v>-0</v>
      </c>
      <c r="G33" s="310" t="n">
        <f aca="false">Assumptions!$B$68*G20</f>
        <v>-0</v>
      </c>
      <c r="H33" s="310" t="n">
        <f aca="false">Assumptions!$B$68*H20</f>
        <v>-0</v>
      </c>
      <c r="I33" s="310" t="n">
        <f aca="false">Assumptions!$B$68*I20</f>
        <v>-0</v>
      </c>
      <c r="J33" s="310" t="n">
        <f aca="false">Assumptions!$B$68*J20</f>
        <v>-0</v>
      </c>
      <c r="K33" s="310" t="n">
        <f aca="false">Assumptions!$B$68*K20</f>
        <v>-0</v>
      </c>
      <c r="L33" s="310" t="n">
        <f aca="false">Assumptions!$B$68*L20</f>
        <v>-0</v>
      </c>
      <c r="M33" s="310" t="n">
        <f aca="false">Assumptions!$B$68*M20</f>
        <v>-0</v>
      </c>
      <c r="N33" s="310" t="n">
        <f aca="false">Assumptions!$B$68*N20</f>
        <v>-0</v>
      </c>
      <c r="O33" s="310" t="n">
        <f aca="false">Assumptions!$B$68*O20</f>
        <v>-0</v>
      </c>
      <c r="P33" s="310" t="n">
        <f aca="false">Assumptions!$B$68*P20</f>
        <v>-0</v>
      </c>
      <c r="Q33" s="310" t="n">
        <f aca="false">Assumptions!$B$68*Q20</f>
        <v>-0</v>
      </c>
      <c r="R33" s="310" t="n">
        <f aca="false">Assumptions!$B$68*R20</f>
        <v>-0</v>
      </c>
      <c r="S33" s="310" t="n">
        <f aca="false">Assumptions!$B$68*S20</f>
        <v>-0</v>
      </c>
      <c r="T33" s="310" t="n">
        <f aca="false">Assumptions!$B$68*T20</f>
        <v>-0</v>
      </c>
      <c r="U33" s="310" t="n">
        <f aca="false">Assumptions!$B$68*U20</f>
        <v>-636.904763659489</v>
      </c>
      <c r="V33" s="310" t="n">
        <f aca="false">Assumptions!$B$68*V20</f>
        <v>-658.790080203417</v>
      </c>
      <c r="W33" s="310" t="n">
        <f aca="false">Assumptions!$B$68*W20</f>
        <v>-702.243162595452</v>
      </c>
      <c r="X33" s="310" t="n">
        <f aca="false">Assumptions!$B$68*X20</f>
        <v>-729.441915690105</v>
      </c>
      <c r="Y33" s="310" t="n">
        <f aca="false">Assumptions!$B$68*Y20</f>
        <v>-731.471621216458</v>
      </c>
      <c r="Z33" s="310" t="n">
        <f aca="false">Assumptions!$B$68*Z20</f>
        <v>-733.339400010099</v>
      </c>
      <c r="AA33" s="310" t="n">
        <f aca="false">Assumptions!$B$68*AA20</f>
        <v>-735.040394269046</v>
      </c>
      <c r="AB33" s="310" t="n">
        <f aca="false">Assumptions!$B$68*AB20</f>
        <v>-736.569600457258</v>
      </c>
      <c r="AC33" s="310" t="n">
        <f aca="false">Assumptions!$B$68*AC20</f>
        <v>-737.921864932613</v>
      </c>
      <c r="AD33" s="310" t="n">
        <f aca="false">Assumptions!$B$68*AD20</f>
        <v>-739.091879443727</v>
      </c>
      <c r="AE33" s="310" t="n">
        <f aca="false">Assumptions!$B$68*AE20</f>
        <v>-740.074176491669</v>
      </c>
      <c r="AF33" s="310" t="n">
        <f aca="false">Assumptions!$B$68*AF20</f>
        <v>-740.863124552546</v>
      </c>
      <c r="AG33" s="310" t="n">
        <f aca="false">Assumptions!$B$68*AG20</f>
        <v>-741.452923156747</v>
      </c>
    </row>
    <row r="34" customFormat="false" ht="12.75" hidden="false" customHeight="false" outlineLevel="0" collapsed="false">
      <c r="A34" s="300" t="s">
        <v>246</v>
      </c>
      <c r="B34" s="280" t="n">
        <v>0</v>
      </c>
      <c r="C34" s="311" t="n">
        <f aca="false">Assumptions!$B$68*C21</f>
        <v>1196.49480185181</v>
      </c>
      <c r="D34" s="311" t="n">
        <f aca="false">Assumptions!$B$68*D21</f>
        <v>3005.45177969177</v>
      </c>
      <c r="E34" s="311" t="n">
        <f aca="false">Assumptions!$B$68*E21</f>
        <v>4546.16241967816</v>
      </c>
      <c r="F34" s="311" t="n">
        <f aca="false">Assumptions!$B$68*F21</f>
        <v>1748.16996372457</v>
      </c>
      <c r="G34" s="311" t="n">
        <f aca="false">Assumptions!$B$68*G21</f>
        <v>1187.4122904398</v>
      </c>
      <c r="H34" s="311" t="n">
        <f aca="false">Assumptions!$B$68*H21</f>
        <v>772.275398357996</v>
      </c>
      <c r="I34" s="311" t="n">
        <f aca="false">Assumptions!$B$68*I21</f>
        <v>500.283324852451</v>
      </c>
      <c r="J34" s="311" t="n">
        <f aca="false">Assumptions!$B$68*J21</f>
        <v>360.039272195577</v>
      </c>
      <c r="K34" s="311" t="n">
        <f aca="false">Assumptions!$B$68*K21</f>
        <v>126.768199354546</v>
      </c>
      <c r="L34" s="311" t="n">
        <f aca="false">Assumptions!$B$68*L21</f>
        <v>-13.0295141061544</v>
      </c>
      <c r="M34" s="311" t="n">
        <f aca="false">Assumptions!$B$68*M21</f>
        <v>-250.974326533749</v>
      </c>
      <c r="N34" s="311" t="n">
        <f aca="false">Assumptions!$B$68*N21</f>
        <v>-390.139894550408</v>
      </c>
      <c r="O34" s="311" t="n">
        <f aca="false">Assumptions!$B$68*O21</f>
        <v>-632.879694388842</v>
      </c>
      <c r="P34" s="311" t="n">
        <f aca="false">Assumptions!$B$68*P21</f>
        <v>-771.206334899875</v>
      </c>
      <c r="Q34" s="311" t="n">
        <f aca="false">Assumptions!$B$68*Q21</f>
        <v>-915.189536110856</v>
      </c>
      <c r="R34" s="311" t="n">
        <f aca="false">Assumptions!$B$68*R21</f>
        <v>-2184.55523747186</v>
      </c>
      <c r="S34" s="311" t="n">
        <f aca="false">Assumptions!$B$68*S21</f>
        <v>-3451.59786084633</v>
      </c>
      <c r="T34" s="311" t="n">
        <f aca="false">Assumptions!$B$68*T21</f>
        <v>-3584.76908655639</v>
      </c>
      <c r="U34" s="311" t="n">
        <f aca="false">Assumptions!$B$68*U21</f>
        <v>-3492.36112073286</v>
      </c>
      <c r="V34" s="311" t="n">
        <f aca="false">Assumptions!$B$68*V21</f>
        <v>-3612.36560644874</v>
      </c>
      <c r="W34" s="311" t="n">
        <f aca="false">Assumptions!$B$68*W21</f>
        <v>-3850.63334156506</v>
      </c>
      <c r="X34" s="311" t="n">
        <f aca="false">Assumptions!$B$68*X21</f>
        <v>-3999.77317103407</v>
      </c>
      <c r="Y34" s="311" t="n">
        <f aca="false">Assumptions!$B$68*Y21</f>
        <v>-4010.90272300358</v>
      </c>
      <c r="Z34" s="311" t="n">
        <f aca="false">Assumptions!$B$68*Z21</f>
        <v>-4021.14437672205</v>
      </c>
      <c r="AA34" s="311" t="n">
        <f aca="false">Assumptions!$B$68*AA21</f>
        <v>-4030.47149524194</v>
      </c>
      <c r="AB34" s="311" t="n">
        <f aca="false">Assumptions!$B$68*AB21</f>
        <v>-4038.8566425073</v>
      </c>
      <c r="AC34" s="311" t="n">
        <f aca="false">Assumptions!$B$68*AC21</f>
        <v>-4046.2715593805</v>
      </c>
      <c r="AD34" s="311" t="n">
        <f aca="false">Assumptions!$B$68*AD21</f>
        <v>-4052.68713894977</v>
      </c>
      <c r="AE34" s="311" t="n">
        <f aca="false">Assumptions!$B$68*AE21</f>
        <v>-4058.07340109598</v>
      </c>
      <c r="AF34" s="311" t="n">
        <f aca="false">Assumptions!$B$68*AF21</f>
        <v>-4062.39946629646</v>
      </c>
      <c r="AG34" s="311" t="n">
        <f aca="false">Assumptions!$B$68*AG21</f>
        <v>-4065.63352864283</v>
      </c>
    </row>
    <row r="35" customFormat="false" ht="12.75" hidden="false" customHeight="false" outlineLevel="0" collapsed="false">
      <c r="A35" s="300"/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</row>
    <row r="36" customFormat="false" ht="12.75" hidden="false" customHeight="false" outlineLevel="0" collapsed="false">
      <c r="A36" s="297" t="s">
        <v>243</v>
      </c>
      <c r="B36" s="301" t="n">
        <f aca="false">Assumptions!$B$68*B23</f>
        <v>0</v>
      </c>
      <c r="C36" s="301" t="n">
        <f aca="false">Assumptions!$B$68*C23</f>
        <v>-809.31245683273</v>
      </c>
      <c r="D36" s="301" t="n">
        <f aca="false">Assumptions!$B$68*D23</f>
        <v>946.227679559725</v>
      </c>
      <c r="E36" s="301" t="n">
        <f aca="false">Assumptions!$B$68*E23</f>
        <v>-2956.073580415</v>
      </c>
      <c r="F36" s="301" t="n">
        <f aca="false">Assumptions!$B$68*F23</f>
        <v>1308.79362349881</v>
      </c>
      <c r="G36" s="301" t="n">
        <f aca="false">Assumptions!$B$68*G23</f>
        <v>1506.45783102766</v>
      </c>
      <c r="H36" s="301" t="n">
        <f aca="false">Assumptions!$B$68*H23</f>
        <v>1510.38734489387</v>
      </c>
      <c r="I36" s="301" t="n">
        <f aca="false">Assumptions!$B$68*I23</f>
        <v>1653.91138140417</v>
      </c>
      <c r="J36" s="301" t="n">
        <f aca="false">Assumptions!$B$68*J23</f>
        <v>1925.32232205265</v>
      </c>
      <c r="K36" s="301" t="n">
        <f aca="false">Assumptions!$B$68*K23</f>
        <v>2347.58232875742</v>
      </c>
      <c r="L36" s="301" t="n">
        <f aca="false">Assumptions!$B$68*L23</f>
        <v>2618.16435375587</v>
      </c>
      <c r="M36" s="301" t="n">
        <f aca="false">Assumptions!$B$68*M23</f>
        <v>3049.10416254997</v>
      </c>
      <c r="N36" s="301" t="n">
        <f aca="false">Assumptions!$B$68*N23</f>
        <v>3318.51220315234</v>
      </c>
      <c r="O36" s="301" t="n">
        <f aca="false">Assumptions!$B$68*O23</f>
        <v>3758.35698856657</v>
      </c>
      <c r="P36" s="301" t="n">
        <f aca="false">Assumptions!$B$68*P23</f>
        <v>4026.20702094421</v>
      </c>
      <c r="Q36" s="301" t="n">
        <f aca="false">Assumptions!$B$68*Q23</f>
        <v>4282.64669462174</v>
      </c>
      <c r="R36" s="301" t="n">
        <f aca="false">Assumptions!$B$68*R23</f>
        <v>3407.51864000646</v>
      </c>
      <c r="S36" s="301" t="n">
        <f aca="false">Assumptions!$B$68*S23</f>
        <v>2528.07629770191</v>
      </c>
      <c r="T36" s="301" t="n">
        <f aca="false">Assumptions!$B$68*T23</f>
        <v>2775.39428830631</v>
      </c>
      <c r="U36" s="301" t="n">
        <f aca="false">Assumptions!$B$68*U23</f>
        <v>2603.77949463404</v>
      </c>
      <c r="V36" s="301" t="n">
        <f aca="false">Assumptions!$B$68*V23</f>
        <v>2826.64496810638</v>
      </c>
      <c r="W36" s="301" t="n">
        <f aca="false">Assumptions!$B$68*W23</f>
        <v>2901.00885713193</v>
      </c>
      <c r="X36" s="301" t="n">
        <f aca="false">Assumptions!$B$68*X23</f>
        <v>7428.15017477757</v>
      </c>
      <c r="Y36" s="301" t="n">
        <f aca="false">Assumptions!$B$68*Y23</f>
        <v>7448.81934272093</v>
      </c>
      <c r="Z36" s="301" t="n">
        <f aca="false">Assumptions!$B$68*Z23</f>
        <v>7467.83955676951</v>
      </c>
      <c r="AA36" s="301" t="n">
        <f aca="false">Assumptions!$B$68*AA23</f>
        <v>7485.16134830646</v>
      </c>
      <c r="AB36" s="301" t="n">
        <f aca="false">Assumptions!$B$68*AB23</f>
        <v>7500.73376465641</v>
      </c>
      <c r="AC36" s="301" t="n">
        <f aca="false">Assumptions!$B$68*AC23</f>
        <v>7514.50432456378</v>
      </c>
      <c r="AD36" s="301" t="n">
        <f aca="false">Assumptions!$B$68*AD23</f>
        <v>7526.41897233528</v>
      </c>
      <c r="AE36" s="301" t="n">
        <f aca="false">Assumptions!$B$68*AE23</f>
        <v>7536.42203060683</v>
      </c>
      <c r="AF36" s="301" t="n">
        <f aca="false">Assumptions!$B$68*AF23</f>
        <v>7544.45615169343</v>
      </c>
      <c r="AG36" s="301" t="n">
        <f aca="false">Assumptions!$B$68*AG23</f>
        <v>7550.46226747954</v>
      </c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4"/>
      <c r="BH36" s="304"/>
      <c r="BI36" s="304"/>
      <c r="BJ36" s="304"/>
      <c r="BK36" s="304"/>
      <c r="BL36" s="304"/>
      <c r="BM36" s="304"/>
      <c r="BN36" s="304"/>
      <c r="BO36" s="304"/>
      <c r="BP36" s="304"/>
      <c r="BQ36" s="304"/>
      <c r="BR36" s="304"/>
      <c r="BS36" s="304"/>
      <c r="BT36" s="304"/>
      <c r="BU36" s="304"/>
      <c r="BV36" s="304"/>
      <c r="BW36" s="304"/>
      <c r="BX36" s="304"/>
      <c r="BY36" s="304"/>
      <c r="BZ36" s="304"/>
      <c r="CA36" s="304"/>
      <c r="CB36" s="304"/>
      <c r="CC36" s="304"/>
      <c r="CD36" s="304"/>
      <c r="CE36" s="304"/>
      <c r="CF36" s="304"/>
      <c r="CG36" s="304"/>
      <c r="CH36" s="304"/>
      <c r="CI36" s="304"/>
      <c r="CJ36" s="304"/>
      <c r="CK36" s="304"/>
      <c r="CL36" s="304"/>
      <c r="CM36" s="304"/>
      <c r="CN36" s="304"/>
      <c r="CO36" s="304"/>
      <c r="CP36" s="304"/>
      <c r="CQ36" s="304"/>
      <c r="CR36" s="304"/>
      <c r="CS36" s="304"/>
      <c r="CT36" s="304"/>
      <c r="CU36" s="304"/>
      <c r="CV36" s="304"/>
      <c r="CW36" s="304"/>
      <c r="CX36" s="304"/>
      <c r="CY36" s="304"/>
      <c r="CZ36" s="304"/>
      <c r="DA36" s="304"/>
      <c r="DB36" s="304"/>
      <c r="DC36" s="304"/>
      <c r="DD36" s="304"/>
      <c r="DE36" s="304"/>
      <c r="DF36" s="304"/>
      <c r="DG36" s="304"/>
      <c r="DH36" s="304"/>
      <c r="DI36" s="304"/>
      <c r="DJ36" s="304"/>
      <c r="DK36" s="304"/>
      <c r="DL36" s="304"/>
      <c r="DM36" s="304"/>
      <c r="DN36" s="304"/>
      <c r="DO36" s="304"/>
      <c r="DP36" s="304"/>
      <c r="DQ36" s="304"/>
      <c r="DR36" s="304"/>
      <c r="DS36" s="304"/>
      <c r="DT36" s="304"/>
      <c r="DU36" s="304"/>
      <c r="DV36" s="304"/>
      <c r="DW36" s="304"/>
      <c r="DX36" s="304"/>
      <c r="DY36" s="304"/>
      <c r="DZ36" s="304"/>
      <c r="EA36" s="304"/>
      <c r="EB36" s="304"/>
      <c r="EC36" s="304"/>
      <c r="ED36" s="304"/>
      <c r="EE36" s="304"/>
      <c r="EF36" s="304"/>
      <c r="EG36" s="304"/>
      <c r="EH36" s="304"/>
      <c r="EI36" s="304"/>
      <c r="EJ36" s="304"/>
      <c r="EK36" s="304"/>
      <c r="EL36" s="304"/>
      <c r="EM36" s="304"/>
      <c r="EN36" s="304"/>
      <c r="EO36" s="304"/>
      <c r="EP36" s="304"/>
      <c r="EQ36" s="304"/>
      <c r="ER36" s="304"/>
      <c r="ES36" s="304"/>
      <c r="ET36" s="304"/>
      <c r="EU36" s="304"/>
      <c r="EV36" s="304"/>
      <c r="EW36" s="304"/>
      <c r="EX36" s="304"/>
      <c r="EY36" s="304"/>
      <c r="EZ36" s="304"/>
      <c r="FA36" s="304"/>
      <c r="FB36" s="304"/>
      <c r="FC36" s="304"/>
      <c r="FD36" s="304"/>
      <c r="FE36" s="304"/>
      <c r="FF36" s="304"/>
      <c r="FG36" s="304"/>
      <c r="FH36" s="304"/>
      <c r="FI36" s="304"/>
      <c r="FJ36" s="304"/>
      <c r="FK36" s="304"/>
      <c r="FL36" s="304"/>
      <c r="FM36" s="304"/>
      <c r="FN36" s="304"/>
      <c r="FO36" s="304"/>
      <c r="FP36" s="304"/>
      <c r="FQ36" s="304"/>
      <c r="FR36" s="304"/>
      <c r="FS36" s="304"/>
      <c r="FT36" s="304"/>
      <c r="FU36" s="304"/>
      <c r="FV36" s="304"/>
      <c r="FW36" s="304"/>
      <c r="FX36" s="304"/>
      <c r="FY36" s="304"/>
      <c r="FZ36" s="304"/>
      <c r="GA36" s="304"/>
      <c r="GB36" s="304"/>
      <c r="GC36" s="304"/>
      <c r="GD36" s="304"/>
      <c r="GE36" s="304"/>
      <c r="GF36" s="304"/>
      <c r="GG36" s="304"/>
      <c r="GH36" s="304"/>
      <c r="GI36" s="304"/>
      <c r="GJ36" s="304"/>
      <c r="GK36" s="304"/>
      <c r="GL36" s="304"/>
      <c r="GM36" s="304"/>
      <c r="GN36" s="304"/>
      <c r="GO36" s="304"/>
      <c r="GP36" s="304"/>
      <c r="GQ36" s="304"/>
      <c r="GR36" s="304"/>
      <c r="GS36" s="304"/>
      <c r="GT36" s="304"/>
      <c r="GU36" s="304"/>
      <c r="GV36" s="304"/>
      <c r="GW36" s="304"/>
      <c r="GX36" s="304"/>
      <c r="GY36" s="304"/>
      <c r="GZ36" s="304"/>
      <c r="HA36" s="304"/>
      <c r="HB36" s="304"/>
      <c r="HC36" s="304"/>
      <c r="HD36" s="304"/>
      <c r="HE36" s="304"/>
      <c r="HF36" s="304"/>
      <c r="HG36" s="304"/>
      <c r="HH36" s="304"/>
      <c r="HI36" s="304"/>
      <c r="HJ36" s="304"/>
      <c r="HK36" s="304"/>
      <c r="HL36" s="304"/>
      <c r="HM36" s="304"/>
      <c r="HN36" s="304"/>
      <c r="HO36" s="304"/>
      <c r="HP36" s="304"/>
      <c r="HQ36" s="304"/>
      <c r="HR36" s="304"/>
      <c r="HS36" s="304"/>
      <c r="HT36" s="304"/>
      <c r="HU36" s="304"/>
      <c r="HV36" s="304"/>
      <c r="HW36" s="304"/>
      <c r="HX36" s="304"/>
      <c r="HY36" s="304"/>
      <c r="HZ36" s="304"/>
      <c r="IA36" s="304"/>
      <c r="IB36" s="304"/>
      <c r="IC36" s="304"/>
      <c r="ID36" s="304"/>
      <c r="IE36" s="304"/>
      <c r="IF36" s="304"/>
      <c r="IG36" s="304"/>
      <c r="IH36" s="304"/>
      <c r="II36" s="304"/>
      <c r="IJ36" s="304"/>
      <c r="IK36" s="304"/>
      <c r="IL36" s="304"/>
      <c r="IM36" s="304"/>
      <c r="IN36" s="304"/>
      <c r="IO36" s="304"/>
      <c r="IP36" s="304"/>
      <c r="IQ36" s="304"/>
      <c r="IR36" s="304"/>
      <c r="IS36" s="304"/>
      <c r="IT36" s="304"/>
      <c r="IU36" s="304"/>
      <c r="IV36" s="304"/>
      <c r="IW36" s="304"/>
    </row>
    <row r="37" customFormat="false" ht="12.75" hidden="false" customHeight="false" outlineLevel="0" collapsed="false">
      <c r="A37" s="297"/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299"/>
      <c r="AE37" s="299"/>
      <c r="AF37" s="299"/>
      <c r="AG37" s="299"/>
    </row>
    <row r="38" customFormat="false" ht="12.75" hidden="false" customHeight="false" outlineLevel="0" collapsed="false">
      <c r="A38" s="312" t="s">
        <v>247</v>
      </c>
      <c r="B38" s="301" t="n">
        <f aca="false">-Assumptions!$B$68*Assumptions!C11</f>
        <v>-0</v>
      </c>
      <c r="C38" s="301" t="n">
        <v>0</v>
      </c>
      <c r="D38" s="301" t="n">
        <v>0</v>
      </c>
      <c r="E38" s="301" t="n">
        <v>0</v>
      </c>
      <c r="F38" s="301" t="n">
        <v>0</v>
      </c>
      <c r="G38" s="301" t="n">
        <v>0</v>
      </c>
      <c r="H38" s="301" t="n">
        <v>0</v>
      </c>
      <c r="I38" s="301" t="n">
        <v>0</v>
      </c>
      <c r="J38" s="301" t="n">
        <v>0</v>
      </c>
      <c r="K38" s="301" t="n">
        <v>0</v>
      </c>
      <c r="L38" s="301" t="n">
        <v>0</v>
      </c>
      <c r="M38" s="301" t="n">
        <v>0</v>
      </c>
      <c r="N38" s="301" t="n">
        <v>0</v>
      </c>
      <c r="O38" s="301" t="n">
        <v>0</v>
      </c>
      <c r="P38" s="301" t="n">
        <v>0</v>
      </c>
      <c r="Q38" s="301" t="n">
        <v>0</v>
      </c>
      <c r="R38" s="301" t="n">
        <v>0</v>
      </c>
      <c r="S38" s="301" t="n">
        <v>0</v>
      </c>
      <c r="T38" s="301" t="n">
        <v>0</v>
      </c>
      <c r="U38" s="301" t="n">
        <v>0</v>
      </c>
      <c r="V38" s="301" t="n">
        <v>0</v>
      </c>
      <c r="W38" s="301" t="n">
        <v>0</v>
      </c>
      <c r="X38" s="301" t="n">
        <v>0</v>
      </c>
      <c r="Y38" s="301" t="n">
        <v>0</v>
      </c>
      <c r="Z38" s="301" t="n">
        <v>0</v>
      </c>
      <c r="AA38" s="301" t="n">
        <v>0</v>
      </c>
      <c r="AB38" s="301" t="n">
        <v>0</v>
      </c>
      <c r="AC38" s="301" t="n">
        <v>0</v>
      </c>
      <c r="AD38" s="301" t="n">
        <v>0</v>
      </c>
      <c r="AE38" s="301" t="n">
        <v>0</v>
      </c>
      <c r="AF38" s="301" t="n">
        <v>0</v>
      </c>
      <c r="AG38" s="301" t="n">
        <v>0</v>
      </c>
    </row>
    <row r="39" customFormat="false" ht="12.75" hidden="false" customHeight="false" outlineLevel="0" collapsed="false">
      <c r="A39" s="312"/>
      <c r="B39" s="298"/>
      <c r="C39" s="298"/>
      <c r="D39" s="299"/>
      <c r="E39" s="299"/>
      <c r="F39" s="299"/>
      <c r="G39" s="29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</row>
    <row r="40" customFormat="false" ht="12.75" hidden="false" customHeight="false" outlineLevel="0" collapsed="false">
      <c r="A40" s="313"/>
      <c r="B40" s="314"/>
      <c r="C40" s="314"/>
      <c r="D40" s="299"/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299"/>
      <c r="AE40" s="299"/>
      <c r="AF40" s="299"/>
      <c r="AG40" s="299"/>
    </row>
    <row r="41" customFormat="false" ht="12.75" hidden="false" customHeight="false" outlineLevel="0" collapsed="false">
      <c r="A41" s="305" t="s">
        <v>248</v>
      </c>
      <c r="B41" s="299"/>
      <c r="C41" s="299"/>
      <c r="D41" s="299"/>
      <c r="E41" s="299"/>
      <c r="F41" s="299"/>
      <c r="G41" s="299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299"/>
      <c r="AE41" s="299"/>
      <c r="AF41" s="299"/>
      <c r="AG41" s="299"/>
    </row>
    <row r="42" customFormat="false" ht="12.75" hidden="false" customHeight="false" outlineLevel="0" collapsed="false">
      <c r="A42" s="1" t="s">
        <v>249</v>
      </c>
      <c r="B42" s="299" t="n">
        <f aca="false">B38+C36</f>
        <v>-809.31245683273</v>
      </c>
      <c r="C42" s="299" t="n">
        <f aca="false">C38+C36</f>
        <v>-809.31245683273</v>
      </c>
      <c r="D42" s="299" t="n">
        <f aca="false">D38+D36</f>
        <v>946.227679559725</v>
      </c>
      <c r="E42" s="299" t="n">
        <f aca="false">E38+E36</f>
        <v>-2956.073580415</v>
      </c>
      <c r="F42" s="299" t="n">
        <f aca="false">F38+F36</f>
        <v>1308.79362349881</v>
      </c>
      <c r="G42" s="299" t="n">
        <f aca="false">G38+G36</f>
        <v>1506.45783102766</v>
      </c>
      <c r="H42" s="299" t="n">
        <f aca="false">H38+H36</f>
        <v>1510.38734489387</v>
      </c>
      <c r="I42" s="299" t="n">
        <f aca="false">I38+I36</f>
        <v>1653.91138140417</v>
      </c>
      <c r="J42" s="299" t="n">
        <f aca="false">J38+J36</f>
        <v>1925.32232205265</v>
      </c>
      <c r="K42" s="299" t="n">
        <f aca="false">K38+K36</f>
        <v>2347.58232875742</v>
      </c>
      <c r="L42" s="299" t="n">
        <f aca="false">L38+L36</f>
        <v>2618.16435375587</v>
      </c>
      <c r="M42" s="299" t="n">
        <f aca="false">M38+M36</f>
        <v>3049.10416254997</v>
      </c>
      <c r="N42" s="299" t="n">
        <f aca="false">N38+N36</f>
        <v>3318.51220315234</v>
      </c>
      <c r="O42" s="299" t="n">
        <f aca="false">O38+O36</f>
        <v>3758.35698856657</v>
      </c>
      <c r="P42" s="299" t="n">
        <f aca="false">P38+P36</f>
        <v>4026.20702094421</v>
      </c>
      <c r="Q42" s="299" t="n">
        <f aca="false">Q38+Q36</f>
        <v>4282.64669462174</v>
      </c>
      <c r="R42" s="299" t="n">
        <f aca="false">R38+R36</f>
        <v>3407.51864000646</v>
      </c>
      <c r="S42" s="299" t="n">
        <f aca="false">S38+S36</f>
        <v>2528.07629770191</v>
      </c>
      <c r="T42" s="299" t="n">
        <f aca="false">T38+T36</f>
        <v>2775.39428830631</v>
      </c>
      <c r="U42" s="299" t="n">
        <f aca="false">U38+U36</f>
        <v>2603.77949463404</v>
      </c>
      <c r="V42" s="299" t="n">
        <f aca="false">V38+V36</f>
        <v>2826.64496810638</v>
      </c>
      <c r="W42" s="299" t="n">
        <f aca="false">W38+W36</f>
        <v>2901.00885713193</v>
      </c>
      <c r="X42" s="299" t="n">
        <f aca="false">X38+X36</f>
        <v>7428.15017477757</v>
      </c>
      <c r="Y42" s="299" t="n">
        <f aca="false">Y38+Y36</f>
        <v>7448.81934272093</v>
      </c>
      <c r="Z42" s="299" t="n">
        <f aca="false">Z38+Z36</f>
        <v>7467.83955676951</v>
      </c>
      <c r="AA42" s="299" t="n">
        <f aca="false">AA38+AA36</f>
        <v>7485.16134830646</v>
      </c>
      <c r="AB42" s="299" t="n">
        <f aca="false">AB38+AB36</f>
        <v>7500.73376465641</v>
      </c>
      <c r="AC42" s="299" t="n">
        <f aca="false">AC38+AC36</f>
        <v>7514.50432456378</v>
      </c>
      <c r="AD42" s="299" t="n">
        <f aca="false">AD38+AD36</f>
        <v>7526.41897233528</v>
      </c>
      <c r="AE42" s="299" t="n">
        <f aca="false">AE38+AE36</f>
        <v>7536.42203060683</v>
      </c>
      <c r="AF42" s="299" t="n">
        <f aca="false">AF38+AF36</f>
        <v>7544.45615169343</v>
      </c>
      <c r="AG42" s="299" t="n">
        <f aca="false">AG38+AG36</f>
        <v>7550.46226747954</v>
      </c>
    </row>
    <row r="43" customFormat="false" ht="12.75" hidden="false" customHeight="false" outlineLevel="0" collapsed="false">
      <c r="A43" s="1" t="s">
        <v>17</v>
      </c>
      <c r="B43" s="315" t="e">
        <f aca="false">([1]!xirr,B42:AG42,B29:AG29)</f>
        <v>#VALUE!</v>
      </c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  <c r="AE43" s="316"/>
      <c r="AF43" s="316"/>
      <c r="AG43" s="316"/>
    </row>
    <row r="44" customFormat="false" ht="12.75" hidden="false" customHeight="false" outlineLevel="0" collapsed="false">
      <c r="Y44" s="1"/>
      <c r="Z44" s="1"/>
    </row>
    <row r="45" customFormat="false" ht="12.75" hidden="false" customHeight="false" outlineLevel="0" collapsed="false">
      <c r="A45" s="305" t="s">
        <v>250</v>
      </c>
      <c r="Y45" s="1"/>
      <c r="Z45" s="1"/>
    </row>
    <row r="46" customFormat="false" ht="12.75" hidden="false" customHeight="false" outlineLevel="0" collapsed="false">
      <c r="A46" s="1" t="s">
        <v>249</v>
      </c>
      <c r="B46" s="299" t="n">
        <f aca="false">B42</f>
        <v>-809.31245683273</v>
      </c>
      <c r="C46" s="299" t="n">
        <f aca="false">C42</f>
        <v>-809.31245683273</v>
      </c>
      <c r="D46" s="299" t="n">
        <f aca="false">D42</f>
        <v>946.227679559725</v>
      </c>
      <c r="E46" s="299" t="n">
        <f aca="false">E42</f>
        <v>-2956.073580415</v>
      </c>
      <c r="F46" s="299" t="n">
        <f aca="false">F42</f>
        <v>1308.79362349881</v>
      </c>
      <c r="G46" s="299" t="n">
        <f aca="false">G42</f>
        <v>1506.45783102766</v>
      </c>
      <c r="H46" s="299" t="n">
        <f aca="false">H42</f>
        <v>1510.38734489387</v>
      </c>
      <c r="I46" s="299" t="n">
        <f aca="false">I42</f>
        <v>1653.91138140417</v>
      </c>
      <c r="J46" s="299" t="n">
        <f aca="false">J42</f>
        <v>1925.32232205265</v>
      </c>
      <c r="K46" s="299" t="n">
        <f aca="false">K42</f>
        <v>2347.58232875742</v>
      </c>
      <c r="L46" s="299" t="n">
        <f aca="false">L42</f>
        <v>2618.16435375587</v>
      </c>
      <c r="M46" s="299" t="n">
        <f aca="false">M42</f>
        <v>3049.10416254997</v>
      </c>
      <c r="N46" s="299" t="n">
        <f aca="false">N42</f>
        <v>3318.51220315234</v>
      </c>
      <c r="O46" s="299" t="n">
        <f aca="false">O42</f>
        <v>3758.35698856657</v>
      </c>
      <c r="P46" s="299" t="n">
        <f aca="false">P42</f>
        <v>4026.20702094421</v>
      </c>
      <c r="Q46" s="299" t="n">
        <f aca="false">Q42</f>
        <v>4282.64669462174</v>
      </c>
      <c r="R46" s="299" t="n">
        <f aca="false">R42</f>
        <v>3407.51864000646</v>
      </c>
      <c r="S46" s="299" t="n">
        <f aca="false">S42</f>
        <v>2528.07629770191</v>
      </c>
      <c r="T46" s="299" t="n">
        <f aca="false">T42</f>
        <v>2775.39428830631</v>
      </c>
      <c r="U46" s="299" t="n">
        <f aca="false">U42</f>
        <v>2603.77949463404</v>
      </c>
      <c r="V46" s="299" t="n">
        <f aca="false">V42</f>
        <v>2826.64496810638</v>
      </c>
      <c r="W46" s="299" t="n">
        <f aca="false">W42</f>
        <v>2901.00885713193</v>
      </c>
      <c r="X46" s="299" t="n">
        <f aca="false">X42</f>
        <v>7428.15017477757</v>
      </c>
      <c r="Y46" s="299" t="n">
        <f aca="false">Y42</f>
        <v>7448.81934272093</v>
      </c>
      <c r="Z46" s="299" t="n">
        <f aca="false">Z42</f>
        <v>7467.83955676951</v>
      </c>
      <c r="AA46" s="299" t="n">
        <f aca="false">AA42</f>
        <v>7485.16134830646</v>
      </c>
      <c r="AB46" s="299" t="n">
        <f aca="false">AB42</f>
        <v>7500.73376465641</v>
      </c>
      <c r="AC46" s="299" t="n">
        <f aca="false">AC42</f>
        <v>7514.50432456378</v>
      </c>
      <c r="AD46" s="299" t="n">
        <f aca="false">AD42</f>
        <v>7526.41897233528</v>
      </c>
      <c r="AE46" s="299" t="n">
        <f aca="false">AE42</f>
        <v>7536.42203060683</v>
      </c>
      <c r="AF46" s="299" t="n">
        <f aca="false">AF42</f>
        <v>7544.45615169343</v>
      </c>
      <c r="AG46" s="299" t="n">
        <f aca="false">AG42</f>
        <v>7550.46226747954</v>
      </c>
    </row>
    <row r="47" customFormat="false" ht="12.75" hidden="false" customHeight="false" outlineLevel="0" collapsed="false">
      <c r="A47" s="1" t="s">
        <v>72</v>
      </c>
      <c r="B47" s="317" t="n">
        <v>0</v>
      </c>
      <c r="C47" s="317" t="n">
        <v>0</v>
      </c>
      <c r="D47" s="317" t="n">
        <v>0</v>
      </c>
      <c r="E47" s="317" t="n">
        <v>0</v>
      </c>
      <c r="F47" s="317" t="n">
        <v>0</v>
      </c>
      <c r="G47" s="317" t="n">
        <v>0</v>
      </c>
      <c r="H47" s="317" t="n">
        <v>0</v>
      </c>
      <c r="I47" s="317" t="n">
        <v>0</v>
      </c>
      <c r="J47" s="317" t="n">
        <v>0</v>
      </c>
      <c r="K47" s="317" t="n">
        <v>0</v>
      </c>
      <c r="L47" s="317" t="n">
        <v>0</v>
      </c>
      <c r="M47" s="317" t="n">
        <v>0</v>
      </c>
      <c r="N47" s="317" t="n">
        <v>0</v>
      </c>
      <c r="O47" s="317" t="n">
        <v>0</v>
      </c>
      <c r="P47" s="317" t="n">
        <v>0</v>
      </c>
      <c r="Q47" s="317" t="n">
        <v>0</v>
      </c>
      <c r="R47" s="317" t="n">
        <v>0</v>
      </c>
      <c r="S47" s="317" t="n">
        <v>0</v>
      </c>
      <c r="T47" s="317" t="n">
        <v>0</v>
      </c>
      <c r="U47" s="317" t="n">
        <v>0</v>
      </c>
      <c r="V47" s="317" t="n">
        <v>0</v>
      </c>
      <c r="W47" s="317" t="n">
        <v>0</v>
      </c>
      <c r="X47" s="318" t="n">
        <v>0</v>
      </c>
      <c r="Y47" s="317" t="n">
        <v>0</v>
      </c>
      <c r="Z47" s="318" t="n">
        <v>0</v>
      </c>
      <c r="AA47" s="317" t="n">
        <v>0</v>
      </c>
      <c r="AB47" s="318" t="n">
        <v>0</v>
      </c>
      <c r="AC47" s="317" t="n">
        <v>0</v>
      </c>
      <c r="AD47" s="318" t="n">
        <v>0</v>
      </c>
      <c r="AE47" s="317" t="n">
        <v>0</v>
      </c>
      <c r="AF47" s="318" t="n">
        <v>0</v>
      </c>
      <c r="AG47" s="317" t="n">
        <v>0</v>
      </c>
    </row>
    <row r="48" customFormat="false" ht="12.75" hidden="false" customHeight="false" outlineLevel="0" collapsed="false">
      <c r="A48" s="1" t="s">
        <v>251</v>
      </c>
      <c r="B48" s="299" t="n">
        <f aca="false">B46+B47</f>
        <v>-809.31245683273</v>
      </c>
      <c r="C48" s="299" t="n">
        <f aca="false">C46+C47</f>
        <v>-809.31245683273</v>
      </c>
      <c r="D48" s="299" t="n">
        <f aca="false">D46+D47</f>
        <v>946.227679559725</v>
      </c>
      <c r="E48" s="299" t="n">
        <f aca="false">E46+E47</f>
        <v>-2956.073580415</v>
      </c>
      <c r="F48" s="299" t="n">
        <f aca="false">F46+F47</f>
        <v>1308.79362349881</v>
      </c>
      <c r="G48" s="299" t="n">
        <f aca="false">G46+G47</f>
        <v>1506.45783102766</v>
      </c>
      <c r="H48" s="299" t="n">
        <f aca="false">H46+H47</f>
        <v>1510.38734489387</v>
      </c>
      <c r="I48" s="299" t="n">
        <f aca="false">I46+I47</f>
        <v>1653.91138140417</v>
      </c>
      <c r="J48" s="299" t="n">
        <f aca="false">J46+J47</f>
        <v>1925.32232205265</v>
      </c>
      <c r="K48" s="299" t="n">
        <f aca="false">K46+K47</f>
        <v>2347.58232875742</v>
      </c>
      <c r="L48" s="299" t="n">
        <f aca="false">L46+L47</f>
        <v>2618.16435375587</v>
      </c>
      <c r="M48" s="299" t="n">
        <f aca="false">M46+M47</f>
        <v>3049.10416254997</v>
      </c>
      <c r="N48" s="299" t="n">
        <f aca="false">N46+N47</f>
        <v>3318.51220315234</v>
      </c>
      <c r="O48" s="299" t="n">
        <f aca="false">O46+O47</f>
        <v>3758.35698856657</v>
      </c>
      <c r="P48" s="299" t="n">
        <f aca="false">P46+P47</f>
        <v>4026.20702094421</v>
      </c>
      <c r="Q48" s="299" t="n">
        <f aca="false">Q46+Q47</f>
        <v>4282.64669462174</v>
      </c>
      <c r="R48" s="299" t="n">
        <f aca="false">R46+R47</f>
        <v>3407.51864000646</v>
      </c>
      <c r="S48" s="299" t="n">
        <f aca="false">S46+S47</f>
        <v>2528.07629770191</v>
      </c>
      <c r="T48" s="299" t="n">
        <f aca="false">T46+T47</f>
        <v>2775.39428830631</v>
      </c>
      <c r="U48" s="299" t="n">
        <f aca="false">U46+U47</f>
        <v>2603.77949463404</v>
      </c>
      <c r="V48" s="299" t="n">
        <f aca="false">V46+V47</f>
        <v>2826.64496810638</v>
      </c>
      <c r="W48" s="299" t="n">
        <f aca="false">W46+W47</f>
        <v>2901.00885713193</v>
      </c>
      <c r="X48" s="299" t="n">
        <f aca="false">X46+X47</f>
        <v>7428.15017477757</v>
      </c>
      <c r="Y48" s="299" t="n">
        <f aca="false">Y46+Y47</f>
        <v>7448.81934272093</v>
      </c>
      <c r="Z48" s="299" t="n">
        <f aca="false">Z46+Z47</f>
        <v>7467.83955676951</v>
      </c>
      <c r="AA48" s="299" t="n">
        <f aca="false">AA46+AA47</f>
        <v>7485.16134830646</v>
      </c>
      <c r="AB48" s="299" t="n">
        <f aca="false">AB46+AB47</f>
        <v>7500.73376465641</v>
      </c>
      <c r="AC48" s="299" t="n">
        <f aca="false">AC46+AC47</f>
        <v>7514.50432456378</v>
      </c>
      <c r="AD48" s="299" t="n">
        <f aca="false">AD46+AD47</f>
        <v>7526.41897233528</v>
      </c>
      <c r="AE48" s="299" t="n">
        <f aca="false">AE46+AE47</f>
        <v>7536.42203060683</v>
      </c>
      <c r="AF48" s="299" t="n">
        <f aca="false">AF46+AF47</f>
        <v>7544.45615169343</v>
      </c>
      <c r="AG48" s="299" t="n">
        <f aca="false">AG46+AG47</f>
        <v>7550.46226747954</v>
      </c>
    </row>
    <row r="49" customFormat="false" ht="12.75" hidden="false" customHeight="false" outlineLevel="0" collapsed="false">
      <c r="A49" s="52" t="s">
        <v>252</v>
      </c>
      <c r="B49" s="315" t="e">
        <f aca="false">([1]!xirr,B48:AG48,B29:AG29)</f>
        <v>#VALUE!</v>
      </c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6"/>
      <c r="V49" s="316"/>
      <c r="W49" s="316"/>
      <c r="Y49" s="316"/>
      <c r="Z49" s="1"/>
      <c r="AA49" s="316"/>
      <c r="AC49" s="316"/>
      <c r="AE49" s="316"/>
      <c r="AG49" s="316"/>
    </row>
    <row r="50" customFormat="false" ht="12.75" hidden="false" customHeight="false" outlineLevel="0" collapsed="false">
      <c r="A50" s="52"/>
    </row>
    <row r="52" customFormat="false" ht="18.75" hidden="false" customHeight="false" outlineLevel="0" collapsed="false">
      <c r="A52" s="6" t="s">
        <v>253</v>
      </c>
      <c r="D52" s="299"/>
      <c r="E52" s="299"/>
      <c r="F52" s="299"/>
      <c r="G52" s="2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299"/>
    </row>
    <row r="53" customFormat="false" ht="12.75" hidden="false" customHeight="false" outlineLevel="0" collapsed="false">
      <c r="C53" s="293"/>
      <c r="D53" s="293"/>
      <c r="E53" s="293"/>
      <c r="F53" s="293"/>
      <c r="G53" s="293"/>
      <c r="H53" s="293"/>
      <c r="I53" s="293"/>
      <c r="J53" s="293"/>
      <c r="K53" s="293"/>
      <c r="L53" s="293"/>
      <c r="M53" s="293"/>
      <c r="N53" s="293"/>
      <c r="O53" s="293"/>
      <c r="P53" s="293"/>
      <c r="Q53" s="293"/>
      <c r="R53" s="293"/>
      <c r="S53" s="293"/>
      <c r="T53" s="293"/>
      <c r="U53" s="293"/>
      <c r="V53" s="293"/>
      <c r="W53" s="293"/>
      <c r="X53" s="293"/>
      <c r="Y53" s="293"/>
      <c r="Z53" s="293"/>
      <c r="AA53" s="293"/>
      <c r="AB53" s="293"/>
      <c r="AC53" s="293"/>
      <c r="AD53" s="293"/>
      <c r="AE53" s="293"/>
      <c r="AF53" s="293"/>
      <c r="AG53" s="293"/>
    </row>
    <row r="54" customFormat="false" ht="13.5" hidden="false" customHeight="false" outlineLevel="0" collapsed="false">
      <c r="A54" s="261" t="s">
        <v>206</v>
      </c>
      <c r="B54" s="262" t="n">
        <f aca="false">B28</f>
        <v>2001</v>
      </c>
      <c r="C54" s="262" t="n">
        <f aca="false">C28</f>
        <v>2002</v>
      </c>
      <c r="D54" s="262" t="n">
        <f aca="false">D28</f>
        <v>2003</v>
      </c>
      <c r="E54" s="262" t="n">
        <f aca="false">E28</f>
        <v>2004</v>
      </c>
      <c r="F54" s="262" t="n">
        <f aca="false">F28</f>
        <v>2005</v>
      </c>
      <c r="G54" s="262" t="n">
        <f aca="false">G28</f>
        <v>2006</v>
      </c>
      <c r="H54" s="262" t="n">
        <f aca="false">H28</f>
        <v>2007</v>
      </c>
      <c r="I54" s="262" t="n">
        <f aca="false">I28</f>
        <v>2008</v>
      </c>
      <c r="J54" s="262" t="n">
        <f aca="false">J28</f>
        <v>2009</v>
      </c>
      <c r="K54" s="262" t="n">
        <f aca="false">K28</f>
        <v>2010</v>
      </c>
      <c r="L54" s="262" t="n">
        <f aca="false">L28</f>
        <v>2011</v>
      </c>
      <c r="M54" s="262" t="n">
        <f aca="false">M28</f>
        <v>2012</v>
      </c>
      <c r="N54" s="262" t="n">
        <f aca="false">N28</f>
        <v>2013</v>
      </c>
      <c r="O54" s="262" t="n">
        <f aca="false">O28</f>
        <v>2014</v>
      </c>
      <c r="P54" s="262" t="n">
        <f aca="false">P28</f>
        <v>2015</v>
      </c>
      <c r="Q54" s="262" t="n">
        <f aca="false">Q28</f>
        <v>2016</v>
      </c>
      <c r="R54" s="262" t="n">
        <f aca="false">R28</f>
        <v>2017</v>
      </c>
      <c r="S54" s="262" t="n">
        <f aca="false">S28</f>
        <v>2018</v>
      </c>
      <c r="T54" s="262" t="n">
        <f aca="false">T28</f>
        <v>2019</v>
      </c>
      <c r="U54" s="262" t="n">
        <f aca="false">U28</f>
        <v>2020</v>
      </c>
      <c r="V54" s="262" t="n">
        <f aca="false">V28</f>
        <v>2021</v>
      </c>
      <c r="W54" s="262" t="n">
        <f aca="false">W28</f>
        <v>2022</v>
      </c>
      <c r="X54" s="262" t="n">
        <f aca="false">X28</f>
        <v>2023</v>
      </c>
      <c r="Y54" s="262" t="n">
        <f aca="false">Y28</f>
        <v>2024</v>
      </c>
      <c r="Z54" s="262" t="n">
        <f aca="false">Z28</f>
        <v>2025</v>
      </c>
      <c r="AA54" s="262" t="n">
        <f aca="false">AA28</f>
        <v>2026</v>
      </c>
      <c r="AB54" s="262" t="n">
        <f aca="false">AB28</f>
        <v>2027</v>
      </c>
      <c r="AC54" s="262" t="n">
        <f aca="false">AC28</f>
        <v>2028</v>
      </c>
      <c r="AD54" s="262" t="n">
        <f aca="false">AD28</f>
        <v>2029</v>
      </c>
      <c r="AE54" s="262" t="n">
        <f aca="false">AE28</f>
        <v>2030</v>
      </c>
      <c r="AF54" s="262" t="n">
        <f aca="false">AF28</f>
        <v>2031</v>
      </c>
      <c r="AG54" s="262" t="n">
        <f aca="false">AG28</f>
        <v>2032</v>
      </c>
    </row>
    <row r="55" customFormat="false" ht="18.75" hidden="false" customHeight="false" outlineLevel="0" collapsed="false">
      <c r="A55" s="306"/>
      <c r="B55" s="307" t="n">
        <f aca="false">B29</f>
        <v>37104</v>
      </c>
      <c r="C55" s="307" t="n">
        <f aca="false">C29</f>
        <v>37620.5</v>
      </c>
      <c r="D55" s="307" t="n">
        <f aca="false">D29</f>
        <v>37985.75</v>
      </c>
      <c r="E55" s="307" t="n">
        <f aca="false">E29</f>
        <v>38351</v>
      </c>
      <c r="F55" s="307" t="n">
        <f aca="false">F29</f>
        <v>38716.25</v>
      </c>
      <c r="G55" s="307" t="n">
        <f aca="false">G29</f>
        <v>39081.5</v>
      </c>
      <c r="H55" s="307" t="n">
        <f aca="false">H29</f>
        <v>39446.75</v>
      </c>
      <c r="I55" s="307" t="n">
        <f aca="false">I29</f>
        <v>39812</v>
      </c>
      <c r="J55" s="307" t="n">
        <f aca="false">J29</f>
        <v>40177.25</v>
      </c>
      <c r="K55" s="307" t="n">
        <f aca="false">K29</f>
        <v>40542.5</v>
      </c>
      <c r="L55" s="307" t="n">
        <f aca="false">L29</f>
        <v>40907.75</v>
      </c>
      <c r="M55" s="307" t="n">
        <f aca="false">M29</f>
        <v>41273</v>
      </c>
      <c r="N55" s="307" t="n">
        <f aca="false">N29</f>
        <v>41638.25</v>
      </c>
      <c r="O55" s="307" t="n">
        <f aca="false">O29</f>
        <v>42003.5</v>
      </c>
      <c r="P55" s="307" t="n">
        <f aca="false">P29</f>
        <v>42368.75</v>
      </c>
      <c r="Q55" s="307" t="n">
        <f aca="false">Q29</f>
        <v>42734</v>
      </c>
      <c r="R55" s="307" t="n">
        <f aca="false">R29</f>
        <v>43099.25</v>
      </c>
      <c r="S55" s="307" t="n">
        <f aca="false">S29</f>
        <v>43464.5</v>
      </c>
      <c r="T55" s="307" t="n">
        <f aca="false">T29</f>
        <v>43829.75</v>
      </c>
      <c r="U55" s="307" t="n">
        <f aca="false">U29</f>
        <v>44195</v>
      </c>
      <c r="V55" s="307" t="n">
        <f aca="false">V29</f>
        <v>44560.25</v>
      </c>
      <c r="W55" s="307" t="n">
        <f aca="false">W29</f>
        <v>44925.5</v>
      </c>
      <c r="X55" s="307" t="n">
        <f aca="false">X29</f>
        <v>45290.75</v>
      </c>
      <c r="Y55" s="307" t="n">
        <f aca="false">Y29</f>
        <v>45656</v>
      </c>
      <c r="Z55" s="307" t="n">
        <f aca="false">Z29</f>
        <v>46021.25</v>
      </c>
      <c r="AA55" s="307" t="n">
        <f aca="false">AA29</f>
        <v>46386.5</v>
      </c>
      <c r="AB55" s="307" t="n">
        <f aca="false">AB29</f>
        <v>46751.75</v>
      </c>
      <c r="AC55" s="307" t="n">
        <f aca="false">AC29</f>
        <v>47117</v>
      </c>
      <c r="AD55" s="307" t="n">
        <f aca="false">AD29</f>
        <v>47482.25</v>
      </c>
      <c r="AE55" s="307" t="n">
        <f aca="false">AE29</f>
        <v>47847.5</v>
      </c>
      <c r="AF55" s="307" t="n">
        <f aca="false">AF29</f>
        <v>48212.75</v>
      </c>
      <c r="AG55" s="307" t="n">
        <f aca="false">AG29</f>
        <v>48578</v>
      </c>
    </row>
    <row r="56" customFormat="false" ht="12.75" hidden="false" customHeight="false" outlineLevel="0" collapsed="false">
      <c r="A56" s="305"/>
      <c r="J56" s="309"/>
      <c r="Y56" s="1"/>
      <c r="Z56" s="1"/>
    </row>
    <row r="57" customFormat="false" ht="12.75" hidden="false" customHeight="false" outlineLevel="0" collapsed="false">
      <c r="A57" s="297" t="s">
        <v>240</v>
      </c>
      <c r="B57" s="301" t="n">
        <v>0</v>
      </c>
      <c r="C57" s="301" t="n">
        <f aca="false">C18*Assumptions!$B$69</f>
        <v>-0</v>
      </c>
      <c r="D57" s="301" t="n">
        <f aca="false">D18*Assumptions!$B$69</f>
        <v>-0</v>
      </c>
      <c r="E57" s="301" t="n">
        <f aca="false">E18*Assumptions!$B$69</f>
        <v>-0</v>
      </c>
      <c r="F57" s="301" t="n">
        <f aca="false">F18*Assumptions!$B$69</f>
        <v>-0</v>
      </c>
      <c r="G57" s="301" t="n">
        <f aca="false">G18*Assumptions!$B$69</f>
        <v>0</v>
      </c>
      <c r="H57" s="301" t="n">
        <f aca="false">H18*Assumptions!$B$69</f>
        <v>0</v>
      </c>
      <c r="I57" s="301" t="n">
        <f aca="false">I18*Assumptions!$B$69</f>
        <v>0</v>
      </c>
      <c r="J57" s="301" t="n">
        <f aca="false">J18*Assumptions!$B$69</f>
        <v>0</v>
      </c>
      <c r="K57" s="301" t="n">
        <f aca="false">K18*Assumptions!$B$69</f>
        <v>0</v>
      </c>
      <c r="L57" s="301" t="n">
        <f aca="false">L18*Assumptions!$B$69</f>
        <v>0</v>
      </c>
      <c r="M57" s="301" t="n">
        <f aca="false">M18*Assumptions!$B$69</f>
        <v>0</v>
      </c>
      <c r="N57" s="301" t="n">
        <f aca="false">N18*Assumptions!$B$69</f>
        <v>0</v>
      </c>
      <c r="O57" s="301" t="n">
        <f aca="false">O18*Assumptions!$B$69</f>
        <v>0</v>
      </c>
      <c r="P57" s="301" t="n">
        <f aca="false">P18*Assumptions!$B$69</f>
        <v>0</v>
      </c>
      <c r="Q57" s="301" t="n">
        <f aca="false">Q18*Assumptions!$B$69</f>
        <v>0</v>
      </c>
      <c r="R57" s="301" t="n">
        <f aca="false">R18*Assumptions!$B$69</f>
        <v>0</v>
      </c>
      <c r="S57" s="301" t="n">
        <f aca="false">S18*Assumptions!$B$69</f>
        <v>0</v>
      </c>
      <c r="T57" s="301" t="n">
        <f aca="false">T18*Assumptions!$B$69</f>
        <v>0</v>
      </c>
      <c r="U57" s="301" t="n">
        <f aca="false">U18*Assumptions!$B$69</f>
        <v>0</v>
      </c>
      <c r="V57" s="301" t="n">
        <f aca="false">V18*Assumptions!$B$69</f>
        <v>0</v>
      </c>
      <c r="W57" s="301" t="n">
        <f aca="false">W18*Assumptions!$B$69</f>
        <v>0</v>
      </c>
      <c r="X57" s="301" t="n">
        <f aca="false">X18*Assumptions!$B$69</f>
        <v>0</v>
      </c>
      <c r="Y57" s="301" t="n">
        <f aca="false">Y18*Assumptions!$B$69</f>
        <v>0</v>
      </c>
      <c r="Z57" s="301" t="n">
        <f aca="false">Z18*Assumptions!$B$69</f>
        <v>0</v>
      </c>
      <c r="AA57" s="301" t="n">
        <f aca="false">AA18*Assumptions!$B$69</f>
        <v>0</v>
      </c>
      <c r="AB57" s="301" t="n">
        <f aca="false">AB18*Assumptions!$B$69</f>
        <v>0</v>
      </c>
      <c r="AC57" s="301" t="n">
        <f aca="false">AC18*Assumptions!$B$69</f>
        <v>0</v>
      </c>
      <c r="AD57" s="301" t="n">
        <f aca="false">AD18*Assumptions!$B$69</f>
        <v>0</v>
      </c>
      <c r="AE57" s="301" t="n">
        <f aca="false">AE18*Assumptions!$B$69</f>
        <v>0</v>
      </c>
      <c r="AF57" s="301" t="n">
        <f aca="false">AF18*Assumptions!$B$69</f>
        <v>0</v>
      </c>
      <c r="AG57" s="301" t="n">
        <f aca="false">AG18*Assumptions!$B$69</f>
        <v>0</v>
      </c>
    </row>
    <row r="58" customFormat="false" ht="12.75" hidden="false" customHeight="false" outlineLevel="0" collapsed="false">
      <c r="A58" s="297"/>
      <c r="B58" s="299"/>
      <c r="C58" s="299"/>
      <c r="D58" s="299"/>
      <c r="E58" s="299"/>
      <c r="F58" s="299"/>
      <c r="G58" s="2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299"/>
      <c r="Z58" s="299"/>
      <c r="AA58" s="299"/>
      <c r="AB58" s="299"/>
      <c r="AC58" s="299"/>
      <c r="AD58" s="299"/>
      <c r="AE58" s="299"/>
      <c r="AF58" s="299"/>
      <c r="AG58" s="299"/>
    </row>
    <row r="59" customFormat="false" ht="12.75" hidden="false" customHeight="false" outlineLevel="0" collapsed="false">
      <c r="A59" s="300" t="s">
        <v>254</v>
      </c>
      <c r="B59" s="301" t="n">
        <v>0</v>
      </c>
      <c r="C59" s="310" t="n">
        <f aca="false">C20*Assumptions!$B$69</f>
        <v>-0</v>
      </c>
      <c r="D59" s="310" t="n">
        <f aca="false">D20*Assumptions!$B$69</f>
        <v>-0</v>
      </c>
      <c r="E59" s="310" t="n">
        <f aca="false">E20*Assumptions!$B$69</f>
        <v>-0</v>
      </c>
      <c r="F59" s="310" t="n">
        <f aca="false">F20*Assumptions!$B$69</f>
        <v>-0</v>
      </c>
      <c r="G59" s="310" t="n">
        <f aca="false">G20*Assumptions!$B$69</f>
        <v>-0</v>
      </c>
      <c r="H59" s="310" t="n">
        <f aca="false">H20*Assumptions!$B$69</f>
        <v>-0</v>
      </c>
      <c r="I59" s="310" t="n">
        <f aca="false">I20*Assumptions!$B$69</f>
        <v>-0</v>
      </c>
      <c r="J59" s="310" t="n">
        <f aca="false">J20*Assumptions!$B$69</f>
        <v>-0</v>
      </c>
      <c r="K59" s="310" t="n">
        <f aca="false">K20*Assumptions!$B$69</f>
        <v>-0</v>
      </c>
      <c r="L59" s="310" t="n">
        <f aca="false">L20*Assumptions!$B$69</f>
        <v>-0</v>
      </c>
      <c r="M59" s="310" t="n">
        <f aca="false">M20*Assumptions!$B$69</f>
        <v>-0</v>
      </c>
      <c r="N59" s="310" t="n">
        <f aca="false">N20*Assumptions!$B$69</f>
        <v>-0</v>
      </c>
      <c r="O59" s="310" t="n">
        <f aca="false">O20*Assumptions!$B$69</f>
        <v>-0</v>
      </c>
      <c r="P59" s="310" t="n">
        <f aca="false">P20*Assumptions!$B$69</f>
        <v>-0</v>
      </c>
      <c r="Q59" s="310" t="n">
        <f aca="false">Q20*Assumptions!$B$69</f>
        <v>-0</v>
      </c>
      <c r="R59" s="310" t="n">
        <f aca="false">R20*Assumptions!$B$69</f>
        <v>-0</v>
      </c>
      <c r="S59" s="310" t="n">
        <f aca="false">S20*Assumptions!$B$69</f>
        <v>-0</v>
      </c>
      <c r="T59" s="310" t="n">
        <f aca="false">T20*Assumptions!$B$69</f>
        <v>-0</v>
      </c>
      <c r="U59" s="310" t="n">
        <f aca="false">U20*Assumptions!$B$69</f>
        <v>-0</v>
      </c>
      <c r="V59" s="310" t="n">
        <f aca="false">V20*Assumptions!$B$69</f>
        <v>-0</v>
      </c>
      <c r="W59" s="310" t="n">
        <f aca="false">W20*Assumptions!$B$69</f>
        <v>-0</v>
      </c>
      <c r="X59" s="310" t="n">
        <f aca="false">X20*Assumptions!$B$69</f>
        <v>-0</v>
      </c>
      <c r="Y59" s="310" t="n">
        <f aca="false">Y20*Assumptions!$B$69</f>
        <v>-0</v>
      </c>
      <c r="Z59" s="310" t="n">
        <f aca="false">Z20*Assumptions!$B$69</f>
        <v>-0</v>
      </c>
      <c r="AA59" s="310" t="n">
        <f aca="false">AA20*Assumptions!$B$69</f>
        <v>-0</v>
      </c>
      <c r="AB59" s="310" t="n">
        <f aca="false">AB20*Assumptions!$B$69</f>
        <v>-0</v>
      </c>
      <c r="AC59" s="310" t="n">
        <f aca="false">AC20*Assumptions!$B$69</f>
        <v>-0</v>
      </c>
      <c r="AD59" s="310" t="n">
        <f aca="false">AD20*Assumptions!$B$69</f>
        <v>-0</v>
      </c>
      <c r="AE59" s="310" t="n">
        <f aca="false">AE20*Assumptions!$B$69</f>
        <v>-0</v>
      </c>
      <c r="AF59" s="310" t="n">
        <f aca="false">AF20*Assumptions!$B$69</f>
        <v>-0</v>
      </c>
      <c r="AG59" s="310" t="n">
        <f aca="false">AG20*Assumptions!$B$69</f>
        <v>-0</v>
      </c>
    </row>
    <row r="60" customFormat="false" ht="12.75" hidden="false" customHeight="false" outlineLevel="0" collapsed="false">
      <c r="A60" s="300" t="s">
        <v>255</v>
      </c>
      <c r="B60" s="319" t="n">
        <v>0</v>
      </c>
      <c r="C60" s="311" t="n">
        <f aca="false">C21*Assumptions!$B$69</f>
        <v>0</v>
      </c>
      <c r="D60" s="311" t="n">
        <f aca="false">D21*Assumptions!$B$69</f>
        <v>0</v>
      </c>
      <c r="E60" s="311" t="n">
        <f aca="false">E21*Assumptions!$B$69</f>
        <v>0</v>
      </c>
      <c r="F60" s="311" t="n">
        <f aca="false">F21*Assumptions!$B$69</f>
        <v>0</v>
      </c>
      <c r="G60" s="311" t="n">
        <f aca="false">G21*Assumptions!$B$69</f>
        <v>0</v>
      </c>
      <c r="H60" s="311" t="n">
        <f aca="false">H21*Assumptions!$B$69</f>
        <v>0</v>
      </c>
      <c r="I60" s="311" t="n">
        <f aca="false">I21*Assumptions!$B$69</f>
        <v>0</v>
      </c>
      <c r="J60" s="311" t="n">
        <f aca="false">J21*Assumptions!$B$69</f>
        <v>0</v>
      </c>
      <c r="K60" s="311" t="n">
        <f aca="false">K21*Assumptions!$B$69</f>
        <v>0</v>
      </c>
      <c r="L60" s="311" t="n">
        <f aca="false">L21*Assumptions!$B$69</f>
        <v>-0</v>
      </c>
      <c r="M60" s="311" t="n">
        <f aca="false">M21*Assumptions!$B$69</f>
        <v>-0</v>
      </c>
      <c r="N60" s="311" t="n">
        <f aca="false">N21*Assumptions!$B$69</f>
        <v>-0</v>
      </c>
      <c r="O60" s="311" t="n">
        <f aca="false">O21*Assumptions!$B$69</f>
        <v>-0</v>
      </c>
      <c r="P60" s="311" t="n">
        <f aca="false">P21*Assumptions!$B$69</f>
        <v>-0</v>
      </c>
      <c r="Q60" s="311" t="n">
        <f aca="false">Q21*Assumptions!$B$69</f>
        <v>-0</v>
      </c>
      <c r="R60" s="311" t="n">
        <f aca="false">R21*Assumptions!$B$69</f>
        <v>-0</v>
      </c>
      <c r="S60" s="311" t="n">
        <f aca="false">S21*Assumptions!$B$69</f>
        <v>-0</v>
      </c>
      <c r="T60" s="311" t="n">
        <f aca="false">T21*Assumptions!$B$69</f>
        <v>-0</v>
      </c>
      <c r="U60" s="311" t="n">
        <f aca="false">U21*Assumptions!$B$69</f>
        <v>-0</v>
      </c>
      <c r="V60" s="311" t="n">
        <f aca="false">V21*Assumptions!$B$69</f>
        <v>-0</v>
      </c>
      <c r="W60" s="311" t="n">
        <f aca="false">W21*Assumptions!$B$69</f>
        <v>-0</v>
      </c>
      <c r="X60" s="311" t="n">
        <f aca="false">X21*Assumptions!$B$69</f>
        <v>-0</v>
      </c>
      <c r="Y60" s="311" t="n">
        <f aca="false">Y21*Assumptions!$B$69</f>
        <v>-0</v>
      </c>
      <c r="Z60" s="311" t="n">
        <f aca="false">Z21*Assumptions!$B$69</f>
        <v>-0</v>
      </c>
      <c r="AA60" s="311" t="n">
        <f aca="false">AA21*Assumptions!$B$69</f>
        <v>-0</v>
      </c>
      <c r="AB60" s="311" t="n">
        <f aca="false">AB21*Assumptions!$B$69</f>
        <v>-0</v>
      </c>
      <c r="AC60" s="311" t="n">
        <f aca="false">AC21*Assumptions!$B$69</f>
        <v>-0</v>
      </c>
      <c r="AD60" s="311" t="n">
        <f aca="false">AD21*Assumptions!$B$69</f>
        <v>-0</v>
      </c>
      <c r="AE60" s="311" t="n">
        <f aca="false">AE21*Assumptions!$B$69</f>
        <v>-0</v>
      </c>
      <c r="AF60" s="311" t="n">
        <f aca="false">AF21*Assumptions!$B$69</f>
        <v>-0</v>
      </c>
      <c r="AG60" s="311" t="n">
        <f aca="false">AG21*Assumptions!$B$69</f>
        <v>-0</v>
      </c>
    </row>
    <row r="61" customFormat="false" ht="12.75" hidden="false" customHeight="false" outlineLevel="0" collapsed="false">
      <c r="A61" s="300"/>
      <c r="B61" s="299"/>
      <c r="C61" s="299"/>
      <c r="D61" s="299"/>
      <c r="E61" s="299"/>
      <c r="F61" s="299"/>
      <c r="G61" s="2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  <c r="V61" s="299"/>
      <c r="W61" s="299"/>
      <c r="X61" s="299"/>
      <c r="Y61" s="299"/>
      <c r="Z61" s="299"/>
      <c r="AA61" s="299"/>
      <c r="AB61" s="299"/>
      <c r="AC61" s="299"/>
      <c r="AD61" s="299"/>
      <c r="AE61" s="299"/>
      <c r="AF61" s="299"/>
      <c r="AG61" s="299"/>
    </row>
    <row r="62" customFormat="false" ht="12.75" hidden="false" customHeight="false" outlineLevel="0" collapsed="false">
      <c r="A62" s="297" t="s">
        <v>243</v>
      </c>
      <c r="B62" s="301" t="n">
        <v>0</v>
      </c>
      <c r="C62" s="301" t="n">
        <f aca="false">SUM(C57:C60)</f>
        <v>0</v>
      </c>
      <c r="D62" s="301" t="n">
        <f aca="false">SUM(D57:D60)</f>
        <v>0</v>
      </c>
      <c r="E62" s="301" t="n">
        <f aca="false">SUM(E57:E60)</f>
        <v>0</v>
      </c>
      <c r="F62" s="301" t="n">
        <f aca="false">SUM(F57:F60)</f>
        <v>0</v>
      </c>
      <c r="G62" s="301" t="n">
        <f aca="false">SUM(G57:G60)</f>
        <v>0</v>
      </c>
      <c r="H62" s="301" t="n">
        <f aca="false">SUM(H57:H60)</f>
        <v>0</v>
      </c>
      <c r="I62" s="301" t="n">
        <f aca="false">SUM(I57:I60)</f>
        <v>0</v>
      </c>
      <c r="J62" s="301" t="n">
        <f aca="false">SUM(J57:J60)</f>
        <v>0</v>
      </c>
      <c r="K62" s="301" t="n">
        <f aca="false">SUM(K57:K60)</f>
        <v>0</v>
      </c>
      <c r="L62" s="301" t="n">
        <f aca="false">SUM(L57:L60)</f>
        <v>0</v>
      </c>
      <c r="M62" s="301" t="n">
        <f aca="false">SUM(M57:M60)</f>
        <v>0</v>
      </c>
      <c r="N62" s="301" t="n">
        <f aca="false">SUM(N57:N60)</f>
        <v>0</v>
      </c>
      <c r="O62" s="301" t="n">
        <f aca="false">SUM(O57:O60)</f>
        <v>0</v>
      </c>
      <c r="P62" s="301" t="n">
        <f aca="false">SUM(P57:P60)</f>
        <v>0</v>
      </c>
      <c r="Q62" s="301" t="n">
        <f aca="false">SUM(Q57:Q60)</f>
        <v>0</v>
      </c>
      <c r="R62" s="301" t="n">
        <f aca="false">SUM(R57:R60)</f>
        <v>0</v>
      </c>
      <c r="S62" s="301" t="n">
        <f aca="false">SUM(S57:S60)</f>
        <v>0</v>
      </c>
      <c r="T62" s="301" t="n">
        <f aca="false">SUM(T57:T60)</f>
        <v>0</v>
      </c>
      <c r="U62" s="301" t="n">
        <f aca="false">SUM(U57:U60)</f>
        <v>0</v>
      </c>
      <c r="V62" s="301" t="n">
        <f aca="false">SUM(V57:V60)</f>
        <v>0</v>
      </c>
      <c r="W62" s="301" t="n">
        <f aca="false">SUM(W57:W60)</f>
        <v>0</v>
      </c>
      <c r="X62" s="301" t="n">
        <f aca="false">SUM(X57:X60)</f>
        <v>0</v>
      </c>
      <c r="Y62" s="301" t="n">
        <f aca="false">SUM(Y57:Y60)</f>
        <v>0</v>
      </c>
      <c r="Z62" s="301" t="n">
        <f aca="false">SUM(Z57:Z60)</f>
        <v>0</v>
      </c>
      <c r="AA62" s="301" t="n">
        <f aca="false">SUM(AA57:AA60)</f>
        <v>0</v>
      </c>
      <c r="AB62" s="301" t="n">
        <f aca="false">SUM(AB57:AB60)</f>
        <v>0</v>
      </c>
      <c r="AC62" s="301" t="n">
        <f aca="false">SUM(AC57:AC60)</f>
        <v>0</v>
      </c>
      <c r="AD62" s="301" t="n">
        <f aca="false">SUM(AD57:AD60)</f>
        <v>0</v>
      </c>
      <c r="AE62" s="301" t="n">
        <f aca="false">SUM(AE57:AE60)</f>
        <v>0</v>
      </c>
      <c r="AF62" s="301" t="n">
        <f aca="false">SUM(AF57:AF60)</f>
        <v>0</v>
      </c>
      <c r="AG62" s="301" t="n">
        <f aca="false">SUM(AG57:AG60)</f>
        <v>0</v>
      </c>
    </row>
    <row r="63" customFormat="false" ht="12.75" hidden="false" customHeight="false" outlineLevel="0" collapsed="false">
      <c r="A63" s="297"/>
      <c r="B63" s="299"/>
      <c r="C63" s="299"/>
      <c r="D63" s="299"/>
      <c r="E63" s="299"/>
      <c r="F63" s="299"/>
      <c r="G63" s="299"/>
      <c r="H63" s="299"/>
      <c r="I63" s="299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299"/>
      <c r="U63" s="299"/>
      <c r="V63" s="299"/>
      <c r="W63" s="299"/>
      <c r="X63" s="299"/>
      <c r="Y63" s="299"/>
      <c r="Z63" s="299"/>
      <c r="AA63" s="299"/>
      <c r="AB63" s="299"/>
      <c r="AC63" s="299"/>
      <c r="AD63" s="299"/>
      <c r="AE63" s="299"/>
      <c r="AF63" s="299"/>
      <c r="AG63" s="299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</row>
    <row r="64" customFormat="false" ht="12.75" hidden="false" customHeight="false" outlineLevel="0" collapsed="false">
      <c r="A64" s="312" t="s">
        <v>256</v>
      </c>
      <c r="B64" s="301" t="n">
        <f aca="false">-Assumptions!$B$69*Assumptions!C11</f>
        <v>-0</v>
      </c>
      <c r="C64" s="301" t="n">
        <v>0</v>
      </c>
      <c r="D64" s="301" t="n">
        <v>0</v>
      </c>
      <c r="E64" s="301" t="n">
        <v>0</v>
      </c>
      <c r="F64" s="301" t="n">
        <v>0</v>
      </c>
      <c r="G64" s="301" t="n">
        <v>0</v>
      </c>
      <c r="H64" s="301" t="n">
        <v>0</v>
      </c>
      <c r="I64" s="301" t="n">
        <v>0</v>
      </c>
      <c r="J64" s="301" t="n">
        <v>0</v>
      </c>
      <c r="K64" s="301" t="n">
        <v>0</v>
      </c>
      <c r="L64" s="301" t="n">
        <v>0</v>
      </c>
      <c r="M64" s="301" t="n">
        <v>0</v>
      </c>
      <c r="N64" s="301" t="n">
        <v>0</v>
      </c>
      <c r="O64" s="301" t="n">
        <v>0</v>
      </c>
      <c r="P64" s="301" t="n">
        <v>0</v>
      </c>
      <c r="Q64" s="301" t="n">
        <v>0</v>
      </c>
      <c r="R64" s="301" t="n">
        <v>0</v>
      </c>
      <c r="S64" s="301" t="n">
        <v>0</v>
      </c>
      <c r="T64" s="301" t="n">
        <v>0</v>
      </c>
      <c r="U64" s="301" t="n">
        <v>0</v>
      </c>
      <c r="V64" s="301" t="n">
        <v>0</v>
      </c>
      <c r="W64" s="301" t="n">
        <v>0</v>
      </c>
      <c r="X64" s="301" t="n">
        <v>0</v>
      </c>
      <c r="Y64" s="301" t="n">
        <v>0</v>
      </c>
      <c r="Z64" s="301" t="n">
        <v>0</v>
      </c>
      <c r="AA64" s="301" t="n">
        <v>0</v>
      </c>
      <c r="AB64" s="301" t="n">
        <v>0</v>
      </c>
      <c r="AC64" s="301" t="n">
        <v>0</v>
      </c>
      <c r="AD64" s="301" t="n">
        <v>0</v>
      </c>
      <c r="AE64" s="301" t="n">
        <v>0</v>
      </c>
      <c r="AF64" s="301" t="n">
        <v>0</v>
      </c>
      <c r="AG64" s="301" t="n">
        <v>0</v>
      </c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</row>
    <row r="65" customFormat="false" ht="12.75" hidden="false" customHeight="false" outlineLevel="0" collapsed="false">
      <c r="A65" s="312"/>
      <c r="B65" s="298"/>
      <c r="C65" s="298"/>
      <c r="D65" s="299"/>
      <c r="E65" s="299"/>
      <c r="F65" s="299"/>
      <c r="G65" s="299"/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299"/>
      <c r="AC65" s="299"/>
      <c r="AD65" s="299"/>
      <c r="AE65" s="299"/>
      <c r="AF65" s="299"/>
      <c r="AG65" s="299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</row>
    <row r="66" customFormat="false" ht="12.75" hidden="false" customHeight="false" outlineLevel="0" collapsed="false">
      <c r="A66" s="313"/>
      <c r="B66" s="314"/>
      <c r="C66" s="314"/>
      <c r="D66" s="299"/>
      <c r="E66" s="299"/>
      <c r="F66" s="299"/>
      <c r="G66" s="2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299"/>
      <c r="AE66" s="299"/>
      <c r="AF66" s="299"/>
      <c r="AG66" s="299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</row>
    <row r="67" customFormat="false" ht="12.75" hidden="false" customHeight="false" outlineLevel="0" collapsed="false">
      <c r="A67" s="305" t="s">
        <v>257</v>
      </c>
      <c r="B67" s="299"/>
      <c r="C67" s="299"/>
      <c r="D67" s="299"/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299"/>
      <c r="V67" s="299"/>
      <c r="W67" s="299"/>
      <c r="X67" s="299"/>
      <c r="Y67" s="299"/>
      <c r="Z67" s="299"/>
      <c r="AA67" s="299"/>
      <c r="AB67" s="299"/>
      <c r="AC67" s="299"/>
      <c r="AD67" s="299"/>
      <c r="AE67" s="299"/>
      <c r="AF67" s="299"/>
      <c r="AG67" s="299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</row>
    <row r="68" customFormat="false" ht="12.75" hidden="false" customHeight="false" outlineLevel="0" collapsed="false">
      <c r="A68" s="1" t="s">
        <v>249</v>
      </c>
      <c r="B68" s="299" t="n">
        <f aca="false">B64+C62</f>
        <v>0</v>
      </c>
      <c r="C68" s="299" t="n">
        <f aca="false">C64+C62</f>
        <v>0</v>
      </c>
      <c r="D68" s="299" t="n">
        <f aca="false">D64+D62</f>
        <v>0</v>
      </c>
      <c r="E68" s="299" t="n">
        <f aca="false">E64+E62</f>
        <v>0</v>
      </c>
      <c r="F68" s="299" t="n">
        <f aca="false">F64+F62</f>
        <v>0</v>
      </c>
      <c r="G68" s="299" t="n">
        <f aca="false">G64+G62</f>
        <v>0</v>
      </c>
      <c r="H68" s="299" t="n">
        <f aca="false">H64+H62</f>
        <v>0</v>
      </c>
      <c r="I68" s="299" t="n">
        <f aca="false">I64+I62</f>
        <v>0</v>
      </c>
      <c r="J68" s="299" t="n">
        <f aca="false">J64+J62</f>
        <v>0</v>
      </c>
      <c r="K68" s="299" t="n">
        <f aca="false">K64+K62</f>
        <v>0</v>
      </c>
      <c r="L68" s="299" t="n">
        <f aca="false">L64+L62</f>
        <v>0</v>
      </c>
      <c r="M68" s="299" t="n">
        <f aca="false">M64+M62</f>
        <v>0</v>
      </c>
      <c r="N68" s="299" t="n">
        <f aca="false">N64+N62</f>
        <v>0</v>
      </c>
      <c r="O68" s="299" t="n">
        <f aca="false">O64+O62</f>
        <v>0</v>
      </c>
      <c r="P68" s="299" t="n">
        <f aca="false">P64+P62</f>
        <v>0</v>
      </c>
      <c r="Q68" s="299" t="n">
        <f aca="false">Q64+Q62</f>
        <v>0</v>
      </c>
      <c r="R68" s="299" t="n">
        <f aca="false">R64+R62</f>
        <v>0</v>
      </c>
      <c r="S68" s="299" t="n">
        <f aca="false">S64+S62</f>
        <v>0</v>
      </c>
      <c r="T68" s="299" t="n">
        <f aca="false">T64+T62</f>
        <v>0</v>
      </c>
      <c r="U68" s="299" t="n">
        <f aca="false">U64+U62</f>
        <v>0</v>
      </c>
      <c r="V68" s="299" t="n">
        <f aca="false">V64+V62</f>
        <v>0</v>
      </c>
      <c r="W68" s="299" t="n">
        <f aca="false">W64+W62</f>
        <v>0</v>
      </c>
      <c r="X68" s="299" t="n">
        <f aca="false">X64+X62</f>
        <v>0</v>
      </c>
      <c r="Y68" s="299" t="n">
        <f aca="false">Y64+Y62</f>
        <v>0</v>
      </c>
      <c r="Z68" s="299" t="n">
        <f aca="false">Z64+Z62</f>
        <v>0</v>
      </c>
      <c r="AA68" s="299" t="n">
        <f aca="false">AA64+AA62</f>
        <v>0</v>
      </c>
      <c r="AB68" s="299" t="n">
        <f aca="false">AB64+AB62</f>
        <v>0</v>
      </c>
      <c r="AC68" s="299" t="n">
        <f aca="false">AC64+AC62</f>
        <v>0</v>
      </c>
      <c r="AD68" s="299" t="n">
        <f aca="false">AD64+AD62</f>
        <v>0</v>
      </c>
      <c r="AE68" s="299" t="n">
        <f aca="false">AE64+AE62</f>
        <v>0</v>
      </c>
      <c r="AF68" s="299" t="n">
        <f aca="false">AF64+AF62</f>
        <v>0</v>
      </c>
      <c r="AG68" s="299" t="n">
        <f aca="false">AG64+AG62</f>
        <v>0</v>
      </c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</row>
    <row r="69" customFormat="false" ht="12.75" hidden="false" customHeight="false" outlineLevel="0" collapsed="false">
      <c r="A69" s="1" t="s">
        <v>258</v>
      </c>
      <c r="B69" s="278" t="n">
        <v>0</v>
      </c>
      <c r="C69" s="278" t="n">
        <v>0</v>
      </c>
      <c r="D69" s="278" t="n">
        <v>0</v>
      </c>
      <c r="E69" s="278" t="n">
        <v>0</v>
      </c>
      <c r="F69" s="278" t="n">
        <v>0</v>
      </c>
      <c r="G69" s="278" t="n">
        <v>0</v>
      </c>
      <c r="H69" s="278" t="n">
        <v>0</v>
      </c>
      <c r="I69" s="278" t="n">
        <v>0</v>
      </c>
      <c r="J69" s="278" t="n">
        <v>0</v>
      </c>
      <c r="K69" s="278" t="n">
        <v>0</v>
      </c>
      <c r="L69" s="278" t="n">
        <v>0</v>
      </c>
      <c r="M69" s="278" t="n">
        <v>0</v>
      </c>
      <c r="N69" s="278" t="n">
        <v>0</v>
      </c>
      <c r="O69" s="278" t="n">
        <v>0</v>
      </c>
      <c r="P69" s="278" t="n">
        <v>0</v>
      </c>
      <c r="Q69" s="278" t="n">
        <v>0</v>
      </c>
      <c r="R69" s="278" t="n">
        <v>0</v>
      </c>
      <c r="S69" s="278" t="n">
        <v>0</v>
      </c>
      <c r="T69" s="278" t="n">
        <v>0</v>
      </c>
      <c r="U69" s="278" t="n">
        <v>0</v>
      </c>
      <c r="V69" s="278" t="n">
        <v>0</v>
      </c>
      <c r="W69" s="278" t="n">
        <v>0</v>
      </c>
      <c r="X69" s="278" t="n">
        <v>0</v>
      </c>
      <c r="Y69" s="278" t="n">
        <v>0</v>
      </c>
      <c r="Z69" s="278" t="n">
        <v>0</v>
      </c>
      <c r="AA69" s="278" t="n">
        <v>0</v>
      </c>
      <c r="AB69" s="278" t="n">
        <v>0</v>
      </c>
      <c r="AC69" s="278" t="n">
        <v>0</v>
      </c>
      <c r="AD69" s="278" t="n">
        <v>0</v>
      </c>
      <c r="AE69" s="278" t="n">
        <v>0</v>
      </c>
      <c r="AF69" s="278" t="n">
        <v>0</v>
      </c>
      <c r="AG69" s="278" t="n">
        <v>0</v>
      </c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</row>
    <row r="70" customFormat="false" ht="12.75" hidden="false" customHeight="false" outlineLevel="0" collapsed="false">
      <c r="A70" s="1" t="s">
        <v>259</v>
      </c>
      <c r="B70" s="277" t="n">
        <f aca="false">SUM(B68:B69)</f>
        <v>0</v>
      </c>
      <c r="C70" s="277" t="n">
        <f aca="false">SUM(C68:C69)</f>
        <v>0</v>
      </c>
      <c r="D70" s="277" t="n">
        <f aca="false">SUM(D68:D69)</f>
        <v>0</v>
      </c>
      <c r="E70" s="277" t="n">
        <f aca="false">SUM(E68:E69)</f>
        <v>0</v>
      </c>
      <c r="F70" s="277" t="n">
        <f aca="false">SUM(F68:F69)</f>
        <v>0</v>
      </c>
      <c r="G70" s="277" t="n">
        <f aca="false">SUM(G68:G69)</f>
        <v>0</v>
      </c>
      <c r="H70" s="277" t="n">
        <f aca="false">SUM(H68:H69)</f>
        <v>0</v>
      </c>
      <c r="I70" s="277" t="n">
        <f aca="false">SUM(I68:I69)</f>
        <v>0</v>
      </c>
      <c r="J70" s="277" t="n">
        <f aca="false">SUM(J68:J69)</f>
        <v>0</v>
      </c>
      <c r="K70" s="277" t="n">
        <f aca="false">SUM(K68:K69)</f>
        <v>0</v>
      </c>
      <c r="L70" s="277" t="n">
        <f aca="false">SUM(L68:L69)</f>
        <v>0</v>
      </c>
      <c r="M70" s="277" t="n">
        <f aca="false">SUM(M68:M69)</f>
        <v>0</v>
      </c>
      <c r="N70" s="277" t="n">
        <f aca="false">SUM(N68:N69)</f>
        <v>0</v>
      </c>
      <c r="O70" s="277" t="n">
        <f aca="false">SUM(O68:O69)</f>
        <v>0</v>
      </c>
      <c r="P70" s="277" t="n">
        <f aca="false">SUM(P68:P69)</f>
        <v>0</v>
      </c>
      <c r="Q70" s="277" t="n">
        <f aca="false">SUM(Q68:Q69)</f>
        <v>0</v>
      </c>
      <c r="R70" s="277" t="n">
        <f aca="false">SUM(R68:R69)</f>
        <v>0</v>
      </c>
      <c r="S70" s="277" t="n">
        <f aca="false">SUM(S68:S69)</f>
        <v>0</v>
      </c>
      <c r="T70" s="277" t="n">
        <f aca="false">SUM(T68:T69)</f>
        <v>0</v>
      </c>
      <c r="U70" s="277" t="n">
        <f aca="false">SUM(U68:U69)</f>
        <v>0</v>
      </c>
      <c r="V70" s="277" t="n">
        <f aca="false">SUM(V68:V69)</f>
        <v>0</v>
      </c>
      <c r="W70" s="277" t="n">
        <f aca="false">SUM(W68:W69)</f>
        <v>0</v>
      </c>
      <c r="X70" s="277" t="n">
        <f aca="false">SUM(X68:X69)</f>
        <v>0</v>
      </c>
      <c r="Y70" s="277" t="n">
        <f aca="false">SUM(Y68:Y69)</f>
        <v>0</v>
      </c>
      <c r="Z70" s="277" t="n">
        <f aca="false">SUM(Z68:Z69)</f>
        <v>0</v>
      </c>
      <c r="AA70" s="277" t="n">
        <f aca="false">SUM(AA68:AA69)</f>
        <v>0</v>
      </c>
      <c r="AB70" s="277" t="n">
        <f aca="false">SUM(AB68:AB69)</f>
        <v>0</v>
      </c>
      <c r="AC70" s="277" t="n">
        <f aca="false">SUM(AC68:AC69)</f>
        <v>0</v>
      </c>
      <c r="AD70" s="277" t="n">
        <f aca="false">SUM(AD68:AD69)</f>
        <v>0</v>
      </c>
      <c r="AE70" s="277" t="n">
        <f aca="false">SUM(AE68:AE69)</f>
        <v>0</v>
      </c>
      <c r="AF70" s="277" t="n">
        <f aca="false">SUM(AF68:AF69)</f>
        <v>0</v>
      </c>
      <c r="AG70" s="277" t="n">
        <f aca="false">SUM(AG68:AG69)</f>
        <v>0</v>
      </c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</row>
    <row r="71" customFormat="false" ht="12.75" hidden="false" customHeight="false" outlineLevel="0" collapsed="false">
      <c r="A71" s="1" t="s">
        <v>17</v>
      </c>
      <c r="B71" s="315" t="e">
        <f aca="false">([1]!xirr,B68:AG68,B55:AG55)</f>
        <v>#VALUE!</v>
      </c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  <c r="AG71" s="316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</row>
    <row r="72" customFormat="false" ht="12.75" hidden="false" customHeight="false" outlineLevel="0" collapsed="false">
      <c r="Y72" s="1"/>
      <c r="Z72" s="1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</row>
    <row r="73" customFormat="false" ht="12.75" hidden="false" customHeight="false" outlineLevel="0" collapsed="false">
      <c r="A73" s="305" t="s">
        <v>250</v>
      </c>
      <c r="B73" s="299"/>
      <c r="C73" s="299"/>
      <c r="D73" s="299"/>
      <c r="E73" s="299"/>
      <c r="F73" s="299"/>
      <c r="G73" s="2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R73" s="299"/>
      <c r="S73" s="299"/>
      <c r="T73" s="299"/>
      <c r="U73" s="299"/>
      <c r="V73" s="299"/>
      <c r="W73" s="299"/>
      <c r="X73" s="299"/>
      <c r="Y73" s="299"/>
      <c r="Z73" s="299"/>
      <c r="AA73" s="299"/>
      <c r="AB73" s="299"/>
      <c r="AC73" s="299"/>
      <c r="AD73" s="299"/>
      <c r="AE73" s="299"/>
      <c r="AF73" s="299"/>
      <c r="AG73" s="299"/>
      <c r="AH73" s="266"/>
      <c r="AI73" s="266"/>
      <c r="AJ73" s="266"/>
      <c r="AK73" s="266"/>
      <c r="AL73" s="266"/>
      <c r="AM73" s="266"/>
      <c r="AN73" s="266"/>
      <c r="AO73" s="266"/>
      <c r="AP73" s="266"/>
      <c r="AQ73" s="266"/>
      <c r="AR73" s="266"/>
      <c r="AS73" s="266"/>
      <c r="AT73" s="266"/>
      <c r="AU73" s="266"/>
      <c r="AV73" s="266"/>
      <c r="AW73" s="266"/>
      <c r="AX73" s="266"/>
      <c r="AY73" s="266"/>
      <c r="AZ73" s="266"/>
      <c r="BA73" s="266"/>
      <c r="BB73" s="266"/>
      <c r="BC73" s="266"/>
      <c r="BD73" s="266"/>
      <c r="BE73" s="266"/>
      <c r="BF73" s="266"/>
      <c r="BG73" s="266"/>
      <c r="BH73" s="266"/>
      <c r="BI73" s="266"/>
      <c r="BJ73" s="266"/>
      <c r="BK73" s="266"/>
      <c r="BL73" s="266"/>
      <c r="BM73" s="266"/>
      <c r="BN73" s="266"/>
      <c r="BO73" s="266"/>
      <c r="BP73" s="266"/>
      <c r="BQ73" s="266"/>
      <c r="BR73" s="266"/>
      <c r="BS73" s="266"/>
      <c r="BT73" s="266"/>
      <c r="BU73" s="266"/>
      <c r="BV73" s="266"/>
      <c r="BW73" s="266"/>
      <c r="BX73" s="266"/>
      <c r="BY73" s="266"/>
      <c r="BZ73" s="266"/>
      <c r="CA73" s="266"/>
      <c r="CB73" s="266"/>
      <c r="CC73" s="266"/>
      <c r="CD73" s="266"/>
      <c r="CE73" s="266"/>
      <c r="CF73" s="266"/>
      <c r="CG73" s="266"/>
      <c r="CH73" s="266"/>
      <c r="CI73" s="299"/>
      <c r="CJ73" s="299"/>
      <c r="CK73" s="299"/>
      <c r="CL73" s="299"/>
      <c r="CM73" s="299"/>
      <c r="CN73" s="299"/>
      <c r="CO73" s="299"/>
      <c r="CP73" s="299"/>
      <c r="CQ73" s="299"/>
      <c r="CR73" s="299"/>
      <c r="CS73" s="299"/>
      <c r="CT73" s="299"/>
      <c r="CU73" s="299"/>
      <c r="CV73" s="299"/>
      <c r="CW73" s="299"/>
      <c r="CX73" s="299"/>
      <c r="CY73" s="299"/>
      <c r="CZ73" s="299"/>
      <c r="DA73" s="299"/>
      <c r="DB73" s="299"/>
      <c r="DC73" s="299"/>
      <c r="DD73" s="299"/>
      <c r="DE73" s="299"/>
      <c r="DF73" s="299"/>
      <c r="DG73" s="299"/>
      <c r="DH73" s="299"/>
      <c r="DI73" s="299"/>
      <c r="DJ73" s="299"/>
      <c r="DK73" s="299"/>
      <c r="DL73" s="299"/>
      <c r="DM73" s="299"/>
      <c r="DN73" s="299"/>
      <c r="DO73" s="299"/>
      <c r="DP73" s="299"/>
      <c r="DQ73" s="299"/>
      <c r="DR73" s="299"/>
      <c r="DS73" s="299"/>
      <c r="DT73" s="299"/>
      <c r="DU73" s="299"/>
      <c r="DV73" s="299"/>
      <c r="DW73" s="299"/>
      <c r="DX73" s="299"/>
      <c r="DY73" s="299"/>
      <c r="DZ73" s="299"/>
      <c r="EA73" s="299"/>
      <c r="EB73" s="299"/>
      <c r="EC73" s="299"/>
      <c r="ED73" s="299"/>
      <c r="EE73" s="299"/>
      <c r="EF73" s="299"/>
      <c r="EG73" s="299"/>
      <c r="EH73" s="299"/>
      <c r="EI73" s="299"/>
      <c r="EJ73" s="299"/>
      <c r="EK73" s="299"/>
      <c r="EL73" s="299"/>
      <c r="EM73" s="299"/>
      <c r="EN73" s="299"/>
      <c r="EO73" s="299"/>
      <c r="EP73" s="299"/>
      <c r="EQ73" s="299"/>
      <c r="ER73" s="299"/>
      <c r="ES73" s="299"/>
      <c r="ET73" s="299"/>
      <c r="EU73" s="299"/>
      <c r="EV73" s="299"/>
      <c r="EW73" s="299"/>
      <c r="EX73" s="299"/>
      <c r="EY73" s="299"/>
      <c r="EZ73" s="299"/>
      <c r="FA73" s="299"/>
      <c r="FB73" s="299"/>
      <c r="FC73" s="299"/>
      <c r="FD73" s="299"/>
      <c r="FE73" s="299"/>
      <c r="FF73" s="299"/>
      <c r="FG73" s="299"/>
      <c r="FH73" s="299"/>
      <c r="FI73" s="299"/>
      <c r="FJ73" s="299"/>
      <c r="FK73" s="299"/>
      <c r="FL73" s="299"/>
      <c r="FM73" s="299"/>
      <c r="FN73" s="299"/>
      <c r="FO73" s="299"/>
      <c r="FP73" s="299"/>
      <c r="FQ73" s="299"/>
      <c r="FR73" s="299"/>
      <c r="FS73" s="299"/>
      <c r="FT73" s="299"/>
      <c r="FU73" s="299"/>
      <c r="FV73" s="299"/>
      <c r="FW73" s="299"/>
      <c r="FX73" s="299"/>
      <c r="FY73" s="299"/>
      <c r="FZ73" s="299"/>
      <c r="GA73" s="299"/>
      <c r="GB73" s="299"/>
      <c r="GC73" s="299"/>
      <c r="GD73" s="299"/>
      <c r="GE73" s="299"/>
      <c r="GF73" s="299"/>
      <c r="GG73" s="299"/>
      <c r="GH73" s="299"/>
      <c r="GI73" s="299"/>
      <c r="GJ73" s="299"/>
      <c r="GK73" s="299"/>
      <c r="GL73" s="299"/>
      <c r="GM73" s="299"/>
      <c r="GN73" s="299"/>
      <c r="GO73" s="299"/>
      <c r="GP73" s="299"/>
      <c r="GQ73" s="299"/>
      <c r="GR73" s="299"/>
      <c r="GS73" s="299"/>
      <c r="GT73" s="299"/>
      <c r="GU73" s="299"/>
      <c r="GV73" s="299"/>
      <c r="GW73" s="299"/>
      <c r="GX73" s="299"/>
      <c r="GY73" s="299"/>
      <c r="GZ73" s="299"/>
      <c r="HA73" s="299"/>
      <c r="HB73" s="299"/>
      <c r="HC73" s="299"/>
      <c r="HD73" s="299"/>
      <c r="HE73" s="299"/>
      <c r="HF73" s="299"/>
      <c r="HG73" s="299"/>
      <c r="HH73" s="299"/>
      <c r="HI73" s="299"/>
      <c r="HJ73" s="299"/>
      <c r="HK73" s="299"/>
      <c r="HL73" s="299"/>
      <c r="HM73" s="299"/>
      <c r="HN73" s="299"/>
      <c r="HO73" s="299"/>
      <c r="HP73" s="299"/>
      <c r="HQ73" s="299"/>
      <c r="HR73" s="299"/>
      <c r="HS73" s="299"/>
      <c r="HT73" s="299"/>
      <c r="HU73" s="299"/>
      <c r="HV73" s="299"/>
      <c r="HW73" s="299"/>
      <c r="HX73" s="299"/>
      <c r="HY73" s="299"/>
      <c r="HZ73" s="299"/>
      <c r="IA73" s="299"/>
      <c r="IB73" s="299"/>
      <c r="IC73" s="299"/>
      <c r="ID73" s="299"/>
      <c r="IE73" s="299"/>
      <c r="IF73" s="299"/>
      <c r="IG73" s="299"/>
      <c r="IH73" s="299"/>
      <c r="II73" s="299"/>
      <c r="IJ73" s="299"/>
      <c r="IK73" s="299"/>
      <c r="IL73" s="299"/>
      <c r="IM73" s="299"/>
      <c r="IN73" s="299"/>
      <c r="IO73" s="299"/>
      <c r="IP73" s="299"/>
      <c r="IQ73" s="299"/>
      <c r="IR73" s="299"/>
      <c r="IS73" s="299"/>
      <c r="IT73" s="299"/>
      <c r="IU73" s="299"/>
      <c r="IV73" s="299"/>
      <c r="IW73" s="299"/>
    </row>
    <row r="74" customFormat="false" ht="12.75" hidden="false" customHeight="false" outlineLevel="0" collapsed="false">
      <c r="A74" s="1" t="s">
        <v>249</v>
      </c>
      <c r="B74" s="299" t="n">
        <f aca="false">B68</f>
        <v>0</v>
      </c>
      <c r="C74" s="299" t="n">
        <f aca="false">C68</f>
        <v>0</v>
      </c>
      <c r="D74" s="299" t="n">
        <f aca="false">D68</f>
        <v>0</v>
      </c>
      <c r="E74" s="299" t="n">
        <f aca="false">E68</f>
        <v>0</v>
      </c>
      <c r="F74" s="299" t="n">
        <f aca="false">F68</f>
        <v>0</v>
      </c>
      <c r="G74" s="299" t="n">
        <f aca="false">G68</f>
        <v>0</v>
      </c>
      <c r="H74" s="299" t="n">
        <f aca="false">H68</f>
        <v>0</v>
      </c>
      <c r="I74" s="299" t="n">
        <f aca="false">I68</f>
        <v>0</v>
      </c>
      <c r="J74" s="299" t="n">
        <f aca="false">J68</f>
        <v>0</v>
      </c>
      <c r="K74" s="299" t="n">
        <f aca="false">K68</f>
        <v>0</v>
      </c>
      <c r="L74" s="299" t="n">
        <f aca="false">L68</f>
        <v>0</v>
      </c>
      <c r="M74" s="299" t="n">
        <f aca="false">M68</f>
        <v>0</v>
      </c>
      <c r="N74" s="299" t="n">
        <f aca="false">N68</f>
        <v>0</v>
      </c>
      <c r="O74" s="299" t="n">
        <f aca="false">O68</f>
        <v>0</v>
      </c>
      <c r="P74" s="299" t="n">
        <f aca="false">P68</f>
        <v>0</v>
      </c>
      <c r="Q74" s="299" t="n">
        <f aca="false">Q68</f>
        <v>0</v>
      </c>
      <c r="R74" s="299" t="n">
        <f aca="false">R68</f>
        <v>0</v>
      </c>
      <c r="S74" s="299" t="n">
        <f aca="false">S68</f>
        <v>0</v>
      </c>
      <c r="T74" s="299" t="n">
        <f aca="false">T68</f>
        <v>0</v>
      </c>
      <c r="U74" s="299" t="n">
        <f aca="false">U68</f>
        <v>0</v>
      </c>
      <c r="V74" s="299" t="n">
        <f aca="false">V68</f>
        <v>0</v>
      </c>
      <c r="W74" s="299" t="n">
        <f aca="false">W68</f>
        <v>0</v>
      </c>
      <c r="X74" s="299" t="n">
        <f aca="false">X68</f>
        <v>0</v>
      </c>
      <c r="Y74" s="299" t="n">
        <f aca="false">Y68</f>
        <v>0</v>
      </c>
      <c r="Z74" s="299" t="n">
        <f aca="false">Z68</f>
        <v>0</v>
      </c>
      <c r="AA74" s="299" t="n">
        <f aca="false">AA68</f>
        <v>0</v>
      </c>
      <c r="AB74" s="299" t="n">
        <f aca="false">AB68</f>
        <v>0</v>
      </c>
      <c r="AC74" s="299" t="n">
        <f aca="false">AC68</f>
        <v>0</v>
      </c>
      <c r="AD74" s="299" t="n">
        <f aca="false">AD68</f>
        <v>0</v>
      </c>
      <c r="AE74" s="299" t="n">
        <f aca="false">AE68</f>
        <v>0</v>
      </c>
      <c r="AF74" s="299" t="n">
        <f aca="false">AF68</f>
        <v>0</v>
      </c>
      <c r="AG74" s="299" t="n">
        <f aca="false">AG68</f>
        <v>0</v>
      </c>
      <c r="AH74" s="266"/>
      <c r="AI74" s="266"/>
      <c r="AJ74" s="266"/>
      <c r="AK74" s="266"/>
      <c r="AL74" s="266"/>
      <c r="AM74" s="266"/>
      <c r="AN74" s="266"/>
      <c r="AO74" s="266"/>
      <c r="AP74" s="266"/>
      <c r="AQ74" s="266"/>
      <c r="AR74" s="266"/>
      <c r="AS74" s="266"/>
      <c r="AT74" s="266"/>
      <c r="AU74" s="266"/>
      <c r="AV74" s="266"/>
      <c r="AW74" s="266"/>
      <c r="AX74" s="266"/>
      <c r="AY74" s="266"/>
      <c r="AZ74" s="266"/>
      <c r="BA74" s="266"/>
      <c r="BB74" s="266"/>
      <c r="BC74" s="266"/>
      <c r="BD74" s="266"/>
      <c r="BE74" s="266"/>
      <c r="BF74" s="266"/>
      <c r="BG74" s="266"/>
      <c r="BH74" s="266"/>
      <c r="BI74" s="266"/>
      <c r="BJ74" s="266"/>
      <c r="BK74" s="266"/>
      <c r="BL74" s="266"/>
      <c r="BM74" s="266"/>
      <c r="BN74" s="266"/>
      <c r="BO74" s="266"/>
      <c r="BP74" s="266"/>
      <c r="BQ74" s="266"/>
      <c r="BR74" s="266"/>
      <c r="BS74" s="266"/>
      <c r="BT74" s="266"/>
      <c r="BU74" s="266"/>
      <c r="BV74" s="266"/>
      <c r="BW74" s="266"/>
      <c r="BX74" s="266"/>
      <c r="BY74" s="266"/>
      <c r="BZ74" s="266"/>
      <c r="CA74" s="266"/>
      <c r="CB74" s="266"/>
      <c r="CC74" s="266"/>
      <c r="CD74" s="266"/>
      <c r="CE74" s="266"/>
      <c r="CF74" s="266"/>
      <c r="CG74" s="266"/>
      <c r="CH74" s="266"/>
      <c r="CI74" s="299"/>
      <c r="CJ74" s="299"/>
      <c r="CK74" s="299"/>
      <c r="CL74" s="299"/>
      <c r="CM74" s="299"/>
      <c r="CN74" s="299"/>
      <c r="CO74" s="299"/>
      <c r="CP74" s="299"/>
      <c r="CQ74" s="299"/>
      <c r="CR74" s="299"/>
      <c r="CS74" s="299"/>
      <c r="CT74" s="299"/>
      <c r="CU74" s="299"/>
      <c r="CV74" s="299"/>
      <c r="CW74" s="299"/>
      <c r="CX74" s="299"/>
      <c r="CY74" s="299"/>
      <c r="CZ74" s="299"/>
      <c r="DA74" s="299"/>
      <c r="DB74" s="299"/>
      <c r="DC74" s="299"/>
      <c r="DD74" s="299"/>
      <c r="DE74" s="299"/>
      <c r="DF74" s="299"/>
      <c r="DG74" s="299"/>
      <c r="DH74" s="299"/>
      <c r="DI74" s="299"/>
      <c r="DJ74" s="299"/>
      <c r="DK74" s="299"/>
      <c r="DL74" s="299"/>
      <c r="DM74" s="299"/>
      <c r="DN74" s="299"/>
      <c r="DO74" s="299"/>
      <c r="DP74" s="299"/>
      <c r="DQ74" s="299"/>
      <c r="DR74" s="299"/>
      <c r="DS74" s="299"/>
      <c r="DT74" s="299"/>
      <c r="DU74" s="299"/>
      <c r="DV74" s="299"/>
      <c r="DW74" s="299"/>
      <c r="DX74" s="299"/>
      <c r="DY74" s="299"/>
      <c r="DZ74" s="299"/>
      <c r="EA74" s="299"/>
      <c r="EB74" s="299"/>
      <c r="EC74" s="299"/>
      <c r="ED74" s="299"/>
      <c r="EE74" s="299"/>
      <c r="EF74" s="299"/>
      <c r="EG74" s="299"/>
      <c r="EH74" s="299"/>
      <c r="EI74" s="299"/>
      <c r="EJ74" s="299"/>
      <c r="EK74" s="299"/>
      <c r="EL74" s="299"/>
      <c r="EM74" s="299"/>
      <c r="EN74" s="299"/>
      <c r="EO74" s="299"/>
      <c r="EP74" s="299"/>
      <c r="EQ74" s="299"/>
      <c r="ER74" s="299"/>
      <c r="ES74" s="299"/>
      <c r="ET74" s="299"/>
      <c r="EU74" s="299"/>
      <c r="EV74" s="299"/>
      <c r="EW74" s="299"/>
      <c r="EX74" s="299"/>
      <c r="EY74" s="299"/>
      <c r="EZ74" s="299"/>
      <c r="FA74" s="299"/>
      <c r="FB74" s="299"/>
      <c r="FC74" s="299"/>
      <c r="FD74" s="299"/>
      <c r="FE74" s="299"/>
      <c r="FF74" s="299"/>
      <c r="FG74" s="299"/>
      <c r="FH74" s="299"/>
      <c r="FI74" s="299"/>
      <c r="FJ74" s="299"/>
      <c r="FK74" s="299"/>
      <c r="FL74" s="299"/>
      <c r="FM74" s="299"/>
      <c r="FN74" s="299"/>
      <c r="FO74" s="299"/>
      <c r="FP74" s="299"/>
      <c r="FQ74" s="299"/>
      <c r="FR74" s="299"/>
      <c r="FS74" s="299"/>
      <c r="FT74" s="299"/>
      <c r="FU74" s="299"/>
      <c r="FV74" s="299"/>
      <c r="FW74" s="299"/>
      <c r="FX74" s="299"/>
      <c r="FY74" s="299"/>
      <c r="FZ74" s="299"/>
      <c r="GA74" s="299"/>
      <c r="GB74" s="299"/>
      <c r="GC74" s="299"/>
      <c r="GD74" s="299"/>
      <c r="GE74" s="299"/>
      <c r="GF74" s="299"/>
      <c r="GG74" s="299"/>
      <c r="GH74" s="299"/>
      <c r="GI74" s="299"/>
      <c r="GJ74" s="299"/>
      <c r="GK74" s="299"/>
      <c r="GL74" s="299"/>
      <c r="GM74" s="299"/>
      <c r="GN74" s="299"/>
      <c r="GO74" s="299"/>
      <c r="GP74" s="299"/>
      <c r="GQ74" s="299"/>
      <c r="GR74" s="299"/>
      <c r="GS74" s="299"/>
      <c r="GT74" s="299"/>
      <c r="GU74" s="299"/>
      <c r="GV74" s="299"/>
      <c r="GW74" s="299"/>
      <c r="GX74" s="299"/>
      <c r="GY74" s="299"/>
      <c r="GZ74" s="299"/>
      <c r="HA74" s="299"/>
      <c r="HB74" s="299"/>
      <c r="HC74" s="299"/>
      <c r="HD74" s="299"/>
      <c r="HE74" s="299"/>
      <c r="HF74" s="299"/>
      <c r="HG74" s="299"/>
      <c r="HH74" s="299"/>
      <c r="HI74" s="299"/>
      <c r="HJ74" s="299"/>
      <c r="HK74" s="299"/>
      <c r="HL74" s="299"/>
      <c r="HM74" s="299"/>
      <c r="HN74" s="299"/>
      <c r="HO74" s="299"/>
      <c r="HP74" s="299"/>
      <c r="HQ74" s="299"/>
      <c r="HR74" s="299"/>
      <c r="HS74" s="299"/>
      <c r="HT74" s="299"/>
      <c r="HU74" s="299"/>
      <c r="HV74" s="299"/>
      <c r="HW74" s="299"/>
      <c r="HX74" s="299"/>
      <c r="HY74" s="299"/>
      <c r="HZ74" s="299"/>
      <c r="IA74" s="299"/>
      <c r="IB74" s="299"/>
      <c r="IC74" s="299"/>
      <c r="ID74" s="299"/>
      <c r="IE74" s="299"/>
      <c r="IF74" s="299"/>
      <c r="IG74" s="299"/>
      <c r="IH74" s="299"/>
      <c r="II74" s="299"/>
      <c r="IJ74" s="299"/>
      <c r="IK74" s="299"/>
      <c r="IL74" s="299"/>
      <c r="IM74" s="299"/>
      <c r="IN74" s="299"/>
      <c r="IO74" s="299"/>
      <c r="IP74" s="299"/>
      <c r="IQ74" s="299"/>
      <c r="IR74" s="299"/>
      <c r="IS74" s="299"/>
      <c r="IT74" s="299"/>
      <c r="IU74" s="299"/>
      <c r="IV74" s="299"/>
      <c r="IW74" s="299"/>
    </row>
    <row r="75" customFormat="false" ht="12.75" hidden="false" customHeight="false" outlineLevel="0" collapsed="false">
      <c r="A75" s="1" t="s">
        <v>72</v>
      </c>
      <c r="B75" s="278" t="n">
        <v>0</v>
      </c>
      <c r="C75" s="278" t="n">
        <v>0</v>
      </c>
      <c r="D75" s="278" t="n">
        <v>0</v>
      </c>
      <c r="E75" s="278" t="n">
        <v>0</v>
      </c>
      <c r="F75" s="278" t="n">
        <v>0</v>
      </c>
      <c r="G75" s="278" t="n">
        <v>0</v>
      </c>
      <c r="H75" s="278" t="n">
        <v>0</v>
      </c>
      <c r="I75" s="278" t="n">
        <v>0</v>
      </c>
      <c r="J75" s="278" t="n">
        <v>0</v>
      </c>
      <c r="K75" s="278" t="n">
        <v>0</v>
      </c>
      <c r="L75" s="278" t="n">
        <v>0</v>
      </c>
      <c r="M75" s="278" t="n">
        <v>0</v>
      </c>
      <c r="N75" s="278" t="n">
        <v>0</v>
      </c>
      <c r="O75" s="278" t="n">
        <v>0</v>
      </c>
      <c r="P75" s="278" t="n">
        <v>0</v>
      </c>
      <c r="Q75" s="278" t="n">
        <v>0</v>
      </c>
      <c r="R75" s="278" t="n">
        <v>0</v>
      </c>
      <c r="S75" s="278" t="n">
        <v>0</v>
      </c>
      <c r="T75" s="278" t="n">
        <v>0</v>
      </c>
      <c r="U75" s="278" t="n">
        <v>0</v>
      </c>
      <c r="V75" s="278" t="n">
        <v>0</v>
      </c>
      <c r="W75" s="278" t="n">
        <v>0</v>
      </c>
      <c r="X75" s="320" t="n">
        <v>0</v>
      </c>
      <c r="Y75" s="278" t="n">
        <v>0</v>
      </c>
      <c r="Z75" s="320" t="n">
        <v>0</v>
      </c>
      <c r="AA75" s="278" t="n">
        <v>0</v>
      </c>
      <c r="AB75" s="320" t="n">
        <v>0</v>
      </c>
      <c r="AC75" s="278" t="n">
        <v>0</v>
      </c>
      <c r="AD75" s="320" t="n">
        <v>0</v>
      </c>
      <c r="AE75" s="278" t="n">
        <v>0</v>
      </c>
      <c r="AF75" s="320" t="n">
        <v>0</v>
      </c>
      <c r="AG75" s="278" t="n">
        <v>0</v>
      </c>
      <c r="AH75" s="266"/>
      <c r="AI75" s="266"/>
      <c r="AJ75" s="266"/>
      <c r="AK75" s="266"/>
      <c r="AL75" s="266"/>
      <c r="AM75" s="266"/>
      <c r="AN75" s="266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  <c r="AY75" s="266"/>
      <c r="AZ75" s="266"/>
      <c r="BA75" s="266"/>
      <c r="BB75" s="266"/>
      <c r="BC75" s="266"/>
      <c r="BD75" s="266"/>
      <c r="BE75" s="266"/>
      <c r="BF75" s="266"/>
      <c r="BG75" s="266"/>
      <c r="BH75" s="266"/>
      <c r="BI75" s="266"/>
      <c r="BJ75" s="266"/>
      <c r="BK75" s="266"/>
      <c r="BL75" s="266"/>
      <c r="BM75" s="266"/>
      <c r="BN75" s="266"/>
      <c r="BO75" s="266"/>
      <c r="BP75" s="266"/>
      <c r="BQ75" s="266"/>
      <c r="BR75" s="266"/>
      <c r="BS75" s="266"/>
      <c r="BT75" s="266"/>
      <c r="BU75" s="266"/>
      <c r="BV75" s="266"/>
      <c r="BW75" s="266"/>
      <c r="BX75" s="266"/>
      <c r="BY75" s="266"/>
      <c r="BZ75" s="266"/>
      <c r="CA75" s="266"/>
      <c r="CB75" s="266"/>
      <c r="CC75" s="266"/>
      <c r="CD75" s="266"/>
      <c r="CE75" s="266"/>
      <c r="CF75" s="266"/>
      <c r="CG75" s="266"/>
      <c r="CH75" s="266"/>
      <c r="CI75" s="299"/>
      <c r="CJ75" s="299"/>
      <c r="CK75" s="299"/>
      <c r="CL75" s="299"/>
      <c r="CM75" s="299"/>
      <c r="CN75" s="299"/>
      <c r="CO75" s="299"/>
      <c r="CP75" s="299"/>
      <c r="CQ75" s="299"/>
      <c r="CR75" s="299"/>
      <c r="CS75" s="299"/>
      <c r="CT75" s="299"/>
      <c r="CU75" s="299"/>
      <c r="CV75" s="299"/>
      <c r="CW75" s="299"/>
      <c r="CX75" s="299"/>
      <c r="CY75" s="299"/>
      <c r="CZ75" s="299"/>
      <c r="DA75" s="299"/>
      <c r="DB75" s="299"/>
      <c r="DC75" s="299"/>
      <c r="DD75" s="299"/>
      <c r="DE75" s="299"/>
      <c r="DF75" s="299"/>
      <c r="DG75" s="299"/>
      <c r="DH75" s="299"/>
      <c r="DI75" s="299"/>
      <c r="DJ75" s="299"/>
      <c r="DK75" s="299"/>
      <c r="DL75" s="299"/>
      <c r="DM75" s="299"/>
      <c r="DN75" s="299"/>
      <c r="DO75" s="299"/>
      <c r="DP75" s="299"/>
      <c r="DQ75" s="299"/>
      <c r="DR75" s="299"/>
      <c r="DS75" s="299"/>
      <c r="DT75" s="299"/>
      <c r="DU75" s="299"/>
      <c r="DV75" s="299"/>
      <c r="DW75" s="299"/>
      <c r="DX75" s="299"/>
      <c r="DY75" s="299"/>
      <c r="DZ75" s="299"/>
      <c r="EA75" s="299"/>
      <c r="EB75" s="299"/>
      <c r="EC75" s="299"/>
      <c r="ED75" s="299"/>
      <c r="EE75" s="299"/>
      <c r="EF75" s="299"/>
      <c r="EG75" s="299"/>
      <c r="EH75" s="299"/>
      <c r="EI75" s="299"/>
      <c r="EJ75" s="299"/>
      <c r="EK75" s="299"/>
      <c r="EL75" s="299"/>
      <c r="EM75" s="299"/>
      <c r="EN75" s="299"/>
      <c r="EO75" s="299"/>
      <c r="EP75" s="299"/>
      <c r="EQ75" s="299"/>
      <c r="ER75" s="299"/>
      <c r="ES75" s="299"/>
      <c r="ET75" s="299"/>
      <c r="EU75" s="299"/>
      <c r="EV75" s="299"/>
      <c r="EW75" s="299"/>
      <c r="EX75" s="299"/>
      <c r="EY75" s="299"/>
      <c r="EZ75" s="299"/>
      <c r="FA75" s="299"/>
      <c r="FB75" s="299"/>
      <c r="FC75" s="299"/>
      <c r="FD75" s="299"/>
      <c r="FE75" s="299"/>
      <c r="FF75" s="299"/>
      <c r="FG75" s="299"/>
      <c r="FH75" s="299"/>
      <c r="FI75" s="299"/>
      <c r="FJ75" s="299"/>
      <c r="FK75" s="299"/>
      <c r="FL75" s="299"/>
      <c r="FM75" s="299"/>
      <c r="FN75" s="299"/>
      <c r="FO75" s="299"/>
      <c r="FP75" s="299"/>
      <c r="FQ75" s="299"/>
      <c r="FR75" s="299"/>
      <c r="FS75" s="299"/>
      <c r="FT75" s="299"/>
      <c r="FU75" s="299"/>
      <c r="FV75" s="299"/>
      <c r="FW75" s="299"/>
      <c r="FX75" s="299"/>
      <c r="FY75" s="299"/>
      <c r="FZ75" s="299"/>
      <c r="GA75" s="299"/>
      <c r="GB75" s="299"/>
      <c r="GC75" s="299"/>
      <c r="GD75" s="299"/>
      <c r="GE75" s="299"/>
      <c r="GF75" s="299"/>
      <c r="GG75" s="299"/>
      <c r="GH75" s="299"/>
      <c r="GI75" s="299"/>
      <c r="GJ75" s="299"/>
      <c r="GK75" s="299"/>
      <c r="GL75" s="299"/>
      <c r="GM75" s="299"/>
      <c r="GN75" s="299"/>
      <c r="GO75" s="299"/>
      <c r="GP75" s="299"/>
      <c r="GQ75" s="299"/>
      <c r="GR75" s="299"/>
      <c r="GS75" s="299"/>
      <c r="GT75" s="299"/>
      <c r="GU75" s="299"/>
      <c r="GV75" s="299"/>
      <c r="GW75" s="299"/>
      <c r="GX75" s="299"/>
      <c r="GY75" s="299"/>
      <c r="GZ75" s="299"/>
      <c r="HA75" s="299"/>
      <c r="HB75" s="299"/>
      <c r="HC75" s="299"/>
      <c r="HD75" s="299"/>
      <c r="HE75" s="299"/>
      <c r="HF75" s="299"/>
      <c r="HG75" s="299"/>
      <c r="HH75" s="299"/>
      <c r="HI75" s="299"/>
      <c r="HJ75" s="299"/>
      <c r="HK75" s="299"/>
      <c r="HL75" s="299"/>
      <c r="HM75" s="299"/>
      <c r="HN75" s="299"/>
      <c r="HO75" s="299"/>
      <c r="HP75" s="299"/>
      <c r="HQ75" s="299"/>
      <c r="HR75" s="299"/>
      <c r="HS75" s="299"/>
      <c r="HT75" s="299"/>
      <c r="HU75" s="299"/>
      <c r="HV75" s="299"/>
      <c r="HW75" s="299"/>
      <c r="HX75" s="299"/>
      <c r="HY75" s="299"/>
      <c r="HZ75" s="299"/>
      <c r="IA75" s="299"/>
      <c r="IB75" s="299"/>
      <c r="IC75" s="299"/>
      <c r="ID75" s="299"/>
      <c r="IE75" s="299"/>
      <c r="IF75" s="299"/>
      <c r="IG75" s="299"/>
      <c r="IH75" s="299"/>
      <c r="II75" s="299"/>
      <c r="IJ75" s="299"/>
      <c r="IK75" s="299"/>
      <c r="IL75" s="299"/>
      <c r="IM75" s="299"/>
      <c r="IN75" s="299"/>
      <c r="IO75" s="299"/>
      <c r="IP75" s="299"/>
      <c r="IQ75" s="299"/>
      <c r="IR75" s="299"/>
      <c r="IS75" s="299"/>
      <c r="IT75" s="299"/>
      <c r="IU75" s="299"/>
      <c r="IV75" s="299"/>
      <c r="IW75" s="299"/>
    </row>
    <row r="76" customFormat="false" ht="12.75" hidden="false" customHeight="false" outlineLevel="0" collapsed="false">
      <c r="A76" s="1" t="s">
        <v>260</v>
      </c>
      <c r="B76" s="278" t="n">
        <v>0</v>
      </c>
      <c r="C76" s="278" t="n">
        <v>0</v>
      </c>
      <c r="D76" s="278" t="n">
        <v>0</v>
      </c>
      <c r="E76" s="278" t="n">
        <v>0</v>
      </c>
      <c r="F76" s="278" t="n">
        <v>0</v>
      </c>
      <c r="G76" s="278" t="n">
        <v>0</v>
      </c>
      <c r="H76" s="278" t="n">
        <v>0</v>
      </c>
      <c r="I76" s="278" t="n">
        <v>0</v>
      </c>
      <c r="J76" s="278" t="n">
        <v>0</v>
      </c>
      <c r="K76" s="278" t="n">
        <v>0</v>
      </c>
      <c r="L76" s="278" t="n">
        <v>0</v>
      </c>
      <c r="M76" s="278" t="n">
        <v>0</v>
      </c>
      <c r="N76" s="278" t="n">
        <v>0</v>
      </c>
      <c r="O76" s="278" t="n">
        <v>0</v>
      </c>
      <c r="P76" s="278" t="n">
        <v>0</v>
      </c>
      <c r="Q76" s="278" t="n">
        <v>0</v>
      </c>
      <c r="R76" s="278" t="n">
        <v>0</v>
      </c>
      <c r="S76" s="278" t="n">
        <v>0</v>
      </c>
      <c r="T76" s="278" t="n">
        <v>0</v>
      </c>
      <c r="U76" s="278" t="n">
        <v>0</v>
      </c>
      <c r="V76" s="278" t="n">
        <v>0</v>
      </c>
      <c r="W76" s="278" t="n">
        <v>0</v>
      </c>
      <c r="X76" s="320" t="n">
        <v>0</v>
      </c>
      <c r="Y76" s="278" t="n">
        <v>0</v>
      </c>
      <c r="Z76" s="320" t="n">
        <v>0</v>
      </c>
      <c r="AA76" s="278" t="n">
        <v>0</v>
      </c>
      <c r="AB76" s="320" t="n">
        <v>0</v>
      </c>
      <c r="AC76" s="278" t="n">
        <v>0</v>
      </c>
      <c r="AD76" s="320" t="n">
        <v>0</v>
      </c>
      <c r="AE76" s="278" t="n">
        <v>0</v>
      </c>
      <c r="AF76" s="320" t="n">
        <v>0</v>
      </c>
      <c r="AG76" s="278" t="n">
        <v>0</v>
      </c>
      <c r="AH76" s="266"/>
      <c r="AI76" s="266"/>
      <c r="AJ76" s="266"/>
      <c r="AK76" s="266"/>
      <c r="AL76" s="266"/>
      <c r="AM76" s="266"/>
      <c r="AN76" s="266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  <c r="AY76" s="266"/>
      <c r="AZ76" s="266"/>
      <c r="BA76" s="266"/>
      <c r="BB76" s="266"/>
      <c r="BC76" s="266"/>
      <c r="BD76" s="266"/>
      <c r="BE76" s="266"/>
      <c r="BF76" s="266"/>
      <c r="BG76" s="266"/>
      <c r="BH76" s="266"/>
      <c r="BI76" s="266"/>
      <c r="BJ76" s="266"/>
      <c r="BK76" s="266"/>
      <c r="BL76" s="266"/>
      <c r="BM76" s="266"/>
      <c r="BN76" s="266"/>
      <c r="BO76" s="266"/>
      <c r="BP76" s="266"/>
      <c r="BQ76" s="266"/>
      <c r="BR76" s="266"/>
      <c r="BS76" s="266"/>
      <c r="BT76" s="266"/>
      <c r="BU76" s="266"/>
      <c r="BV76" s="266"/>
      <c r="BW76" s="266"/>
      <c r="BX76" s="266"/>
      <c r="BY76" s="266"/>
      <c r="BZ76" s="266"/>
      <c r="CA76" s="266"/>
      <c r="CB76" s="266"/>
      <c r="CC76" s="266"/>
      <c r="CD76" s="266"/>
      <c r="CE76" s="266"/>
      <c r="CF76" s="266"/>
      <c r="CG76" s="266"/>
      <c r="CH76" s="266"/>
      <c r="CI76" s="299"/>
      <c r="CJ76" s="299"/>
      <c r="CK76" s="299"/>
      <c r="CL76" s="299"/>
      <c r="CM76" s="299"/>
      <c r="CN76" s="299"/>
      <c r="CO76" s="299"/>
      <c r="CP76" s="299"/>
      <c r="CQ76" s="299"/>
      <c r="CR76" s="299"/>
      <c r="CS76" s="299"/>
      <c r="CT76" s="299"/>
      <c r="CU76" s="299"/>
      <c r="CV76" s="299"/>
      <c r="CW76" s="299"/>
      <c r="CX76" s="299"/>
      <c r="CY76" s="299"/>
      <c r="CZ76" s="299"/>
      <c r="DA76" s="299"/>
      <c r="DB76" s="299"/>
      <c r="DC76" s="299"/>
      <c r="DD76" s="299"/>
      <c r="DE76" s="299"/>
      <c r="DF76" s="299"/>
      <c r="DG76" s="299"/>
      <c r="DH76" s="299"/>
      <c r="DI76" s="299"/>
      <c r="DJ76" s="299"/>
      <c r="DK76" s="299"/>
      <c r="DL76" s="299"/>
      <c r="DM76" s="299"/>
      <c r="DN76" s="299"/>
      <c r="DO76" s="299"/>
      <c r="DP76" s="299"/>
      <c r="DQ76" s="299"/>
      <c r="DR76" s="299"/>
      <c r="DS76" s="299"/>
      <c r="DT76" s="299"/>
      <c r="DU76" s="299"/>
      <c r="DV76" s="299"/>
      <c r="DW76" s="299"/>
      <c r="DX76" s="299"/>
      <c r="DY76" s="299"/>
      <c r="DZ76" s="299"/>
      <c r="EA76" s="299"/>
      <c r="EB76" s="299"/>
      <c r="EC76" s="299"/>
      <c r="ED76" s="299"/>
      <c r="EE76" s="299"/>
      <c r="EF76" s="299"/>
      <c r="EG76" s="299"/>
      <c r="EH76" s="299"/>
      <c r="EI76" s="299"/>
      <c r="EJ76" s="299"/>
      <c r="EK76" s="299"/>
      <c r="EL76" s="299"/>
      <c r="EM76" s="299"/>
      <c r="EN76" s="299"/>
      <c r="EO76" s="299"/>
      <c r="EP76" s="299"/>
      <c r="EQ76" s="299"/>
      <c r="ER76" s="299"/>
      <c r="ES76" s="299"/>
      <c r="ET76" s="299"/>
      <c r="EU76" s="299"/>
      <c r="EV76" s="299"/>
      <c r="EW76" s="299"/>
      <c r="EX76" s="299"/>
      <c r="EY76" s="299"/>
      <c r="EZ76" s="299"/>
      <c r="FA76" s="299"/>
      <c r="FB76" s="299"/>
      <c r="FC76" s="299"/>
      <c r="FD76" s="299"/>
      <c r="FE76" s="299"/>
      <c r="FF76" s="299"/>
      <c r="FG76" s="299"/>
      <c r="FH76" s="299"/>
      <c r="FI76" s="299"/>
      <c r="FJ76" s="299"/>
      <c r="FK76" s="299"/>
      <c r="FL76" s="299"/>
      <c r="FM76" s="299"/>
      <c r="FN76" s="299"/>
      <c r="FO76" s="299"/>
      <c r="FP76" s="299"/>
      <c r="FQ76" s="299"/>
      <c r="FR76" s="299"/>
      <c r="FS76" s="299"/>
      <c r="FT76" s="299"/>
      <c r="FU76" s="299"/>
      <c r="FV76" s="299"/>
      <c r="FW76" s="299"/>
      <c r="FX76" s="299"/>
      <c r="FY76" s="299"/>
      <c r="FZ76" s="299"/>
      <c r="GA76" s="299"/>
      <c r="GB76" s="299"/>
      <c r="GC76" s="299"/>
      <c r="GD76" s="299"/>
      <c r="GE76" s="299"/>
      <c r="GF76" s="299"/>
      <c r="GG76" s="299"/>
      <c r="GH76" s="299"/>
      <c r="GI76" s="299"/>
      <c r="GJ76" s="299"/>
      <c r="GK76" s="299"/>
      <c r="GL76" s="299"/>
      <c r="GM76" s="299"/>
      <c r="GN76" s="299"/>
      <c r="GO76" s="299"/>
      <c r="GP76" s="299"/>
      <c r="GQ76" s="299"/>
      <c r="GR76" s="299"/>
      <c r="GS76" s="299"/>
      <c r="GT76" s="299"/>
      <c r="GU76" s="299"/>
      <c r="GV76" s="299"/>
      <c r="GW76" s="299"/>
      <c r="GX76" s="299"/>
      <c r="GY76" s="299"/>
      <c r="GZ76" s="299"/>
      <c r="HA76" s="299"/>
      <c r="HB76" s="299"/>
      <c r="HC76" s="299"/>
      <c r="HD76" s="299"/>
      <c r="HE76" s="299"/>
      <c r="HF76" s="299"/>
      <c r="HG76" s="299"/>
      <c r="HH76" s="299"/>
      <c r="HI76" s="299"/>
      <c r="HJ76" s="299"/>
      <c r="HK76" s="299"/>
      <c r="HL76" s="299"/>
      <c r="HM76" s="299"/>
      <c r="HN76" s="299"/>
      <c r="HO76" s="299"/>
      <c r="HP76" s="299"/>
      <c r="HQ76" s="299"/>
      <c r="HR76" s="299"/>
      <c r="HS76" s="299"/>
      <c r="HT76" s="299"/>
      <c r="HU76" s="299"/>
      <c r="HV76" s="299"/>
      <c r="HW76" s="299"/>
      <c r="HX76" s="299"/>
      <c r="HY76" s="299"/>
      <c r="HZ76" s="299"/>
      <c r="IA76" s="299"/>
      <c r="IB76" s="299"/>
      <c r="IC76" s="299"/>
      <c r="ID76" s="299"/>
      <c r="IE76" s="299"/>
      <c r="IF76" s="299"/>
      <c r="IG76" s="299"/>
      <c r="IH76" s="299"/>
      <c r="II76" s="299"/>
      <c r="IJ76" s="299"/>
      <c r="IK76" s="299"/>
      <c r="IL76" s="299"/>
      <c r="IM76" s="299"/>
      <c r="IN76" s="299"/>
      <c r="IO76" s="299"/>
      <c r="IP76" s="299"/>
      <c r="IQ76" s="299"/>
      <c r="IR76" s="299"/>
      <c r="IS76" s="299"/>
      <c r="IT76" s="299"/>
      <c r="IU76" s="299"/>
      <c r="IV76" s="299"/>
      <c r="IW76" s="299"/>
    </row>
    <row r="77" customFormat="false" ht="12.75" hidden="false" customHeight="false" outlineLevel="0" collapsed="false">
      <c r="A77" s="1" t="s">
        <v>259</v>
      </c>
      <c r="B77" s="299" t="n">
        <f aca="false">SUM(B74:B76)</f>
        <v>0</v>
      </c>
      <c r="C77" s="299" t="n">
        <f aca="false">SUM(C74:C76)</f>
        <v>0</v>
      </c>
      <c r="D77" s="299" t="n">
        <f aca="false">SUM(D74:D76)</f>
        <v>0</v>
      </c>
      <c r="E77" s="299" t="n">
        <f aca="false">SUM(E74:E76)</f>
        <v>0</v>
      </c>
      <c r="F77" s="299" t="n">
        <f aca="false">SUM(F74:F76)</f>
        <v>0</v>
      </c>
      <c r="G77" s="299" t="n">
        <f aca="false">SUM(G74:G76)</f>
        <v>0</v>
      </c>
      <c r="H77" s="299" t="n">
        <f aca="false">SUM(H74:H76)</f>
        <v>0</v>
      </c>
      <c r="I77" s="299" t="n">
        <f aca="false">SUM(I74:I76)</f>
        <v>0</v>
      </c>
      <c r="J77" s="299" t="n">
        <f aca="false">SUM(J74:J76)</f>
        <v>0</v>
      </c>
      <c r="K77" s="299" t="n">
        <f aca="false">SUM(K74:K76)</f>
        <v>0</v>
      </c>
      <c r="L77" s="299" t="n">
        <f aca="false">SUM(L74:L76)</f>
        <v>0</v>
      </c>
      <c r="M77" s="299" t="n">
        <f aca="false">SUM(M74:M76)</f>
        <v>0</v>
      </c>
      <c r="N77" s="299" t="n">
        <f aca="false">SUM(N74:N76)</f>
        <v>0</v>
      </c>
      <c r="O77" s="299" t="n">
        <f aca="false">SUM(O74:O76)</f>
        <v>0</v>
      </c>
      <c r="P77" s="299" t="n">
        <f aca="false">SUM(P74:P76)</f>
        <v>0</v>
      </c>
      <c r="Q77" s="299" t="n">
        <f aca="false">SUM(Q74:Q76)</f>
        <v>0</v>
      </c>
      <c r="R77" s="299" t="n">
        <f aca="false">SUM(R74:R76)</f>
        <v>0</v>
      </c>
      <c r="S77" s="299" t="n">
        <f aca="false">SUM(S74:S76)</f>
        <v>0</v>
      </c>
      <c r="T77" s="299" t="n">
        <f aca="false">SUM(T74:T76)</f>
        <v>0</v>
      </c>
      <c r="U77" s="299" t="n">
        <f aca="false">SUM(U74:U76)</f>
        <v>0</v>
      </c>
      <c r="V77" s="299" t="n">
        <f aca="false">SUM(V74:V76)</f>
        <v>0</v>
      </c>
      <c r="W77" s="299" t="n">
        <f aca="false">SUM(W74:W76)</f>
        <v>0</v>
      </c>
      <c r="X77" s="299" t="n">
        <f aca="false">SUM(X74:X76)</f>
        <v>0</v>
      </c>
      <c r="Y77" s="299" t="n">
        <f aca="false">SUM(Y74:Y76)</f>
        <v>0</v>
      </c>
      <c r="Z77" s="299" t="n">
        <f aca="false">SUM(Z74:Z76)</f>
        <v>0</v>
      </c>
      <c r="AA77" s="299" t="n">
        <f aca="false">SUM(AA74:AA76)</f>
        <v>0</v>
      </c>
      <c r="AB77" s="299" t="n">
        <f aca="false">SUM(AB74:AB76)</f>
        <v>0</v>
      </c>
      <c r="AC77" s="299" t="n">
        <f aca="false">SUM(AC74:AC76)</f>
        <v>0</v>
      </c>
      <c r="AD77" s="299" t="n">
        <f aca="false">SUM(AD74:AD76)</f>
        <v>0</v>
      </c>
      <c r="AE77" s="299" t="n">
        <f aca="false">SUM(AE74:AE76)</f>
        <v>0</v>
      </c>
      <c r="AF77" s="299" t="n">
        <f aca="false">SUM(AF74:AF76)</f>
        <v>0</v>
      </c>
      <c r="AG77" s="299" t="n">
        <f aca="false">SUM(AG74:AG76)</f>
        <v>0</v>
      </c>
      <c r="AH77" s="266"/>
      <c r="AI77" s="266"/>
      <c r="AJ77" s="266"/>
      <c r="AK77" s="266"/>
      <c r="AL77" s="266"/>
      <c r="AM77" s="266"/>
      <c r="AN77" s="266"/>
      <c r="AO77" s="266"/>
      <c r="AP77" s="266"/>
      <c r="AQ77" s="266"/>
      <c r="AR77" s="266"/>
      <c r="AS77" s="266"/>
      <c r="AT77" s="266"/>
      <c r="AU77" s="266"/>
      <c r="AV77" s="266"/>
      <c r="AW77" s="266"/>
      <c r="AX77" s="266"/>
      <c r="AY77" s="266"/>
      <c r="AZ77" s="266"/>
      <c r="BA77" s="266"/>
      <c r="BB77" s="266"/>
      <c r="BC77" s="266"/>
      <c r="BD77" s="266"/>
      <c r="BE77" s="266"/>
      <c r="BF77" s="266"/>
      <c r="BG77" s="266"/>
      <c r="BH77" s="266"/>
      <c r="BI77" s="266"/>
      <c r="BJ77" s="266"/>
      <c r="BK77" s="266"/>
      <c r="BL77" s="266"/>
      <c r="BM77" s="266"/>
      <c r="BN77" s="266"/>
      <c r="BO77" s="266"/>
      <c r="BP77" s="266"/>
      <c r="BQ77" s="266"/>
      <c r="BR77" s="266"/>
      <c r="BS77" s="266"/>
      <c r="BT77" s="266"/>
      <c r="BU77" s="266"/>
      <c r="BV77" s="266"/>
      <c r="BW77" s="266"/>
      <c r="BX77" s="266"/>
      <c r="BY77" s="266"/>
      <c r="BZ77" s="266"/>
      <c r="CA77" s="266"/>
      <c r="CB77" s="266"/>
      <c r="CC77" s="266"/>
      <c r="CD77" s="266"/>
      <c r="CE77" s="266"/>
      <c r="CF77" s="266"/>
      <c r="CG77" s="266"/>
      <c r="CH77" s="266"/>
      <c r="CI77" s="299"/>
      <c r="CJ77" s="299"/>
      <c r="CK77" s="299"/>
      <c r="CL77" s="299"/>
      <c r="CM77" s="299"/>
      <c r="CN77" s="299"/>
      <c r="CO77" s="299"/>
      <c r="CP77" s="299"/>
      <c r="CQ77" s="299"/>
      <c r="CR77" s="299"/>
      <c r="CS77" s="299"/>
      <c r="CT77" s="299"/>
      <c r="CU77" s="299"/>
      <c r="CV77" s="299"/>
      <c r="CW77" s="299"/>
      <c r="CX77" s="299"/>
      <c r="CY77" s="299"/>
      <c r="CZ77" s="299"/>
      <c r="DA77" s="299"/>
      <c r="DB77" s="299"/>
      <c r="DC77" s="299"/>
      <c r="DD77" s="299"/>
      <c r="DE77" s="299"/>
      <c r="DF77" s="299"/>
      <c r="DG77" s="299"/>
      <c r="DH77" s="299"/>
      <c r="DI77" s="299"/>
      <c r="DJ77" s="299"/>
      <c r="DK77" s="299"/>
      <c r="DL77" s="299"/>
      <c r="DM77" s="299"/>
      <c r="DN77" s="299"/>
      <c r="DO77" s="299"/>
      <c r="DP77" s="299"/>
      <c r="DQ77" s="299"/>
      <c r="DR77" s="299"/>
      <c r="DS77" s="299"/>
      <c r="DT77" s="299"/>
      <c r="DU77" s="299"/>
      <c r="DV77" s="299"/>
      <c r="DW77" s="299"/>
      <c r="DX77" s="299"/>
      <c r="DY77" s="299"/>
      <c r="DZ77" s="299"/>
      <c r="EA77" s="299"/>
      <c r="EB77" s="299"/>
      <c r="EC77" s="299"/>
      <c r="ED77" s="299"/>
      <c r="EE77" s="299"/>
      <c r="EF77" s="299"/>
      <c r="EG77" s="299"/>
      <c r="EH77" s="299"/>
      <c r="EI77" s="299"/>
      <c r="EJ77" s="299"/>
      <c r="EK77" s="299"/>
      <c r="EL77" s="299"/>
      <c r="EM77" s="299"/>
      <c r="EN77" s="299"/>
      <c r="EO77" s="299"/>
      <c r="EP77" s="299"/>
      <c r="EQ77" s="299"/>
      <c r="ER77" s="299"/>
      <c r="ES77" s="299"/>
      <c r="ET77" s="299"/>
      <c r="EU77" s="299"/>
      <c r="EV77" s="299"/>
      <c r="EW77" s="299"/>
      <c r="EX77" s="299"/>
      <c r="EY77" s="299"/>
      <c r="EZ77" s="299"/>
      <c r="FA77" s="299"/>
      <c r="FB77" s="299"/>
      <c r="FC77" s="299"/>
      <c r="FD77" s="299"/>
      <c r="FE77" s="299"/>
      <c r="FF77" s="299"/>
      <c r="FG77" s="299"/>
      <c r="FH77" s="299"/>
      <c r="FI77" s="299"/>
      <c r="FJ77" s="299"/>
      <c r="FK77" s="299"/>
      <c r="FL77" s="299"/>
      <c r="FM77" s="299"/>
      <c r="FN77" s="299"/>
      <c r="FO77" s="299"/>
      <c r="FP77" s="299"/>
      <c r="FQ77" s="299"/>
      <c r="FR77" s="299"/>
      <c r="FS77" s="299"/>
      <c r="FT77" s="299"/>
      <c r="FU77" s="299"/>
      <c r="FV77" s="299"/>
      <c r="FW77" s="299"/>
      <c r="FX77" s="299"/>
      <c r="FY77" s="299"/>
      <c r="FZ77" s="299"/>
      <c r="GA77" s="299"/>
      <c r="GB77" s="299"/>
      <c r="GC77" s="299"/>
      <c r="GD77" s="299"/>
      <c r="GE77" s="299"/>
      <c r="GF77" s="299"/>
      <c r="GG77" s="299"/>
      <c r="GH77" s="299"/>
      <c r="GI77" s="299"/>
      <c r="GJ77" s="299"/>
      <c r="GK77" s="299"/>
      <c r="GL77" s="299"/>
      <c r="GM77" s="299"/>
      <c r="GN77" s="299"/>
      <c r="GO77" s="299"/>
      <c r="GP77" s="299"/>
      <c r="GQ77" s="299"/>
      <c r="GR77" s="299"/>
      <c r="GS77" s="299"/>
      <c r="GT77" s="299"/>
      <c r="GU77" s="299"/>
      <c r="GV77" s="299"/>
      <c r="GW77" s="299"/>
      <c r="GX77" s="299"/>
      <c r="GY77" s="299"/>
      <c r="GZ77" s="299"/>
      <c r="HA77" s="299"/>
      <c r="HB77" s="299"/>
      <c r="HC77" s="299"/>
      <c r="HD77" s="299"/>
      <c r="HE77" s="299"/>
      <c r="HF77" s="299"/>
      <c r="HG77" s="299"/>
      <c r="HH77" s="299"/>
      <c r="HI77" s="299"/>
      <c r="HJ77" s="299"/>
      <c r="HK77" s="299"/>
      <c r="HL77" s="299"/>
      <c r="HM77" s="299"/>
      <c r="HN77" s="299"/>
      <c r="HO77" s="299"/>
      <c r="HP77" s="299"/>
      <c r="HQ77" s="299"/>
      <c r="HR77" s="299"/>
      <c r="HS77" s="299"/>
      <c r="HT77" s="299"/>
      <c r="HU77" s="299"/>
      <c r="HV77" s="299"/>
      <c r="HW77" s="299"/>
      <c r="HX77" s="299"/>
      <c r="HY77" s="299"/>
      <c r="HZ77" s="299"/>
      <c r="IA77" s="299"/>
      <c r="IB77" s="299"/>
      <c r="IC77" s="299"/>
      <c r="ID77" s="299"/>
      <c r="IE77" s="299"/>
      <c r="IF77" s="299"/>
      <c r="IG77" s="299"/>
      <c r="IH77" s="299"/>
      <c r="II77" s="299"/>
      <c r="IJ77" s="299"/>
      <c r="IK77" s="299"/>
      <c r="IL77" s="299"/>
      <c r="IM77" s="299"/>
      <c r="IN77" s="299"/>
      <c r="IO77" s="299"/>
      <c r="IP77" s="299"/>
      <c r="IQ77" s="299"/>
      <c r="IR77" s="299"/>
      <c r="IS77" s="299"/>
      <c r="IT77" s="299"/>
      <c r="IU77" s="299"/>
      <c r="IV77" s="299"/>
      <c r="IW77" s="299"/>
    </row>
    <row r="78" customFormat="false" ht="12.75" hidden="false" customHeight="false" outlineLevel="0" collapsed="false">
      <c r="A78" s="52" t="s">
        <v>252</v>
      </c>
      <c r="B78" s="315" t="e">
        <f aca="false">([1]!xirr,B77:AG77,B55:AG55)</f>
        <v>#VALUE!</v>
      </c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Y78" s="316"/>
      <c r="Z78" s="1"/>
      <c r="AA78" s="316"/>
      <c r="AC78" s="316"/>
      <c r="AE78" s="316"/>
      <c r="AG78" s="316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4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J4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X28" activeCellId="0" sqref="X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6.28"/>
    <col collapsed="false" customWidth="true" hidden="false" outlineLevel="0" max="5" min="5" style="0" width="14.41"/>
    <col collapsed="false" customWidth="true" hidden="false" outlineLevel="0" max="21" min="6" style="0" width="16.7"/>
    <col collapsed="false" customWidth="true" hidden="false" outlineLevel="0" max="25" min="22" style="0" width="17.7"/>
    <col collapsed="false" customWidth="true" hidden="false" outlineLevel="0" max="26" min="26" style="0" width="24.56"/>
    <col collapsed="false" customWidth="true" hidden="false" outlineLevel="0" max="30" min="27" style="0" width="17.7"/>
    <col collapsed="false" customWidth="true" hidden="false" outlineLevel="0" max="36" min="31" style="0" width="17.28"/>
  </cols>
  <sheetData>
    <row r="3" customFormat="false" ht="13.5" hidden="false" customHeight="false" outlineLevel="0" collapsed="false">
      <c r="D3" s="321" t="s">
        <v>261</v>
      </c>
      <c r="F3" s="322" t="n">
        <v>37256</v>
      </c>
      <c r="G3" s="323" t="n">
        <v>37621</v>
      </c>
      <c r="H3" s="323" t="n">
        <v>37986</v>
      </c>
      <c r="I3" s="323" t="n">
        <v>38352</v>
      </c>
      <c r="J3" s="323" t="n">
        <v>38717</v>
      </c>
      <c r="K3" s="323" t="n">
        <v>39082</v>
      </c>
      <c r="L3" s="323" t="n">
        <v>39447</v>
      </c>
      <c r="M3" s="323" t="n">
        <v>39813</v>
      </c>
      <c r="N3" s="323" t="n">
        <v>40178</v>
      </c>
      <c r="O3" s="323" t="n">
        <v>40543</v>
      </c>
      <c r="P3" s="323" t="n">
        <v>40908</v>
      </c>
      <c r="Q3" s="323" t="n">
        <v>41274</v>
      </c>
      <c r="R3" s="323" t="n">
        <v>41639</v>
      </c>
      <c r="S3" s="323" t="n">
        <v>42004</v>
      </c>
      <c r="T3" s="323" t="n">
        <v>42369</v>
      </c>
      <c r="U3" s="323" t="n">
        <v>42735</v>
      </c>
      <c r="V3" s="323" t="n">
        <v>43100</v>
      </c>
      <c r="W3" s="323" t="n">
        <v>43465</v>
      </c>
      <c r="X3" s="323" t="n">
        <v>43830</v>
      </c>
      <c r="Y3" s="323" t="n">
        <v>44196</v>
      </c>
      <c r="Z3" s="323" t="n">
        <v>44561</v>
      </c>
      <c r="AA3" s="323" t="n">
        <v>44926</v>
      </c>
      <c r="AB3" s="323" t="n">
        <v>45291</v>
      </c>
      <c r="AC3" s="323" t="n">
        <v>45657</v>
      </c>
      <c r="AD3" s="323" t="n">
        <v>46022</v>
      </c>
      <c r="AE3" s="323" t="n">
        <v>46387</v>
      </c>
      <c r="AF3" s="323" t="n">
        <v>46752</v>
      </c>
      <c r="AG3" s="323" t="n">
        <v>47118</v>
      </c>
      <c r="AH3" s="323" t="n">
        <v>47483</v>
      </c>
      <c r="AI3" s="323" t="n">
        <v>47848</v>
      </c>
      <c r="AJ3" s="323" t="n">
        <v>48213</v>
      </c>
    </row>
    <row r="5" customFormat="false" ht="12.75" hidden="false" customHeight="false" outlineLevel="0" collapsed="false">
      <c r="D5" s="324" t="s">
        <v>227</v>
      </c>
      <c r="F5" s="266" t="n">
        <f aca="false">IS!C43</f>
        <v>6308.38152</v>
      </c>
      <c r="G5" s="266" t="n">
        <f aca="false">IS!D43</f>
        <v>9746.9239656</v>
      </c>
      <c r="H5" s="266" t="n">
        <f aca="false">IS!E43</f>
        <v>3993.515684568</v>
      </c>
      <c r="I5" s="266" t="n">
        <f aca="false">IS!F43</f>
        <v>10745.9789633645</v>
      </c>
      <c r="J5" s="266" t="n">
        <f aca="false">IS!G43</f>
        <v>11194.0044631072</v>
      </c>
      <c r="K5" s="266" t="n">
        <f aca="false">IS!H43</f>
        <v>11302.6744879844</v>
      </c>
      <c r="L5" s="266" t="n">
        <f aca="false">IS!I43</f>
        <v>11407.7942169293</v>
      </c>
      <c r="M5" s="266" t="n">
        <f aca="false">IS!J43</f>
        <v>11509.0528291638</v>
      </c>
      <c r="N5" s="266" t="n">
        <f aca="false">IS!K43</f>
        <v>11854.1875276387</v>
      </c>
      <c r="O5" s="266" t="n">
        <f aca="false">IS!L43</f>
        <v>11954.1708850269</v>
      </c>
      <c r="P5" s="266" t="n">
        <f aca="false">IS!M43</f>
        <v>12312.6591251778</v>
      </c>
      <c r="Q5" s="266" t="n">
        <f aca="false">IS!N43</f>
        <v>12410.8363527259</v>
      </c>
      <c r="R5" s="266" t="n">
        <f aca="false">IS!O43</f>
        <v>12783.0245569077</v>
      </c>
      <c r="S5" s="266" t="n">
        <f aca="false">IS!P43</f>
        <v>12878.8048487254</v>
      </c>
      <c r="T5" s="266" t="n">
        <f aca="false">IS!Q43</f>
        <v>12968.8313425431</v>
      </c>
      <c r="U5" s="266" t="n">
        <f aca="false">IS!R43</f>
        <v>13052.6726082179</v>
      </c>
      <c r="V5" s="266" t="n">
        <f aca="false">IS!S43</f>
        <v>13129.8765082169</v>
      </c>
      <c r="W5" s="266" t="n">
        <f aca="false">IS!T43</f>
        <v>13199.9693434605</v>
      </c>
      <c r="X5" s="266" t="n">
        <f aca="false">IS!U43</f>
        <v>13262.4549665533</v>
      </c>
      <c r="Y5" s="266" t="n">
        <f aca="false">IS!V43</f>
        <v>13316.8138612146</v>
      </c>
      <c r="Z5" s="266" t="n">
        <f aca="false">IS!W43</f>
        <v>13362.5021866776</v>
      </c>
      <c r="AA5" s="266" t="n">
        <f aca="false">IS!X43</f>
        <v>13398.9507857853</v>
      </c>
      <c r="AB5" s="266" t="n">
        <f aca="false">IS!Y43</f>
        <v>13432.7792112245</v>
      </c>
      <c r="AC5" s="266" t="n">
        <f aca="false">IS!Z43</f>
        <v>13463.9088577852</v>
      </c>
      <c r="AD5" s="266" t="n">
        <f aca="false">IS!AA43</f>
        <v>13492.258762101</v>
      </c>
      <c r="AE5" s="266" t="n">
        <f aca="false">IS!AB43</f>
        <v>13517.7455319045</v>
      </c>
      <c r="AF5" s="266" t="n">
        <f aca="false">IS!AC43</f>
        <v>13540.2832731604</v>
      </c>
      <c r="AG5" s="266" t="n">
        <f aca="false">IS!AD43</f>
        <v>13559.7835150123</v>
      </c>
      <c r="AH5" s="266" t="n">
        <f aca="false">IS!AE43</f>
        <v>13576.155132478</v>
      </c>
      <c r="AI5" s="266" t="n">
        <f aca="false">IS!AF43</f>
        <v>13589.304266826</v>
      </c>
      <c r="AJ5" s="266" t="n">
        <f aca="false">IS!AG43</f>
        <v>13599.1342435627</v>
      </c>
    </row>
    <row r="6" customFormat="false" ht="12.75" hidden="false" customHeight="false" outlineLevel="0" collapsed="false">
      <c r="D6" s="324" t="s">
        <v>230</v>
      </c>
      <c r="F6" s="325" t="n">
        <f aca="false">IS!C49</f>
        <v>3879.95476338612</v>
      </c>
      <c r="G6" s="325" t="n">
        <f aca="false">IS!D49</f>
        <v>7371.91405043362</v>
      </c>
      <c r="H6" s="325" t="n">
        <f aca="false">IS!E49</f>
        <v>7061.51766936273</v>
      </c>
      <c r="I6" s="325" t="n">
        <f aca="false">IS!F49</f>
        <v>6751.12128829184</v>
      </c>
      <c r="J6" s="325" t="n">
        <f aca="false">IS!G49</f>
        <v>6440.72490722095</v>
      </c>
      <c r="K6" s="325" t="n">
        <f aca="false">IS!H49</f>
        <v>6130.32852615006</v>
      </c>
      <c r="L6" s="325" t="n">
        <f aca="false">IS!I49</f>
        <v>5819.93214507917</v>
      </c>
      <c r="M6" s="325" t="n">
        <f aca="false">IS!J49</f>
        <v>5509.53576400828</v>
      </c>
      <c r="N6" s="325" t="n">
        <f aca="false">IS!K49</f>
        <v>5199.1393829374</v>
      </c>
      <c r="O6" s="325" t="n">
        <f aca="false">IS!L49</f>
        <v>4888.74300186651</v>
      </c>
      <c r="P6" s="325" t="n">
        <f aca="false">IS!M49</f>
        <v>4578.34662079562</v>
      </c>
      <c r="Q6" s="325" t="n">
        <f aca="false">IS!N49</f>
        <v>4267.95023972473</v>
      </c>
      <c r="R6" s="325" t="n">
        <f aca="false">IS!O49</f>
        <v>3957.55385865384</v>
      </c>
      <c r="S6" s="325" t="n">
        <f aca="false">IS!P49</f>
        <v>3647.15747758295</v>
      </c>
      <c r="T6" s="325" t="n">
        <f aca="false">IS!Q49</f>
        <v>3336.76109651206</v>
      </c>
      <c r="U6" s="325" t="n">
        <f aca="false">IS!R49</f>
        <v>3026.36471544117</v>
      </c>
      <c r="V6" s="325" t="n">
        <f aca="false">IS!S49</f>
        <v>2715.96833437028</v>
      </c>
      <c r="W6" s="325" t="n">
        <f aca="false">IS!T49</f>
        <v>2405.57195329939</v>
      </c>
      <c r="X6" s="325" t="n">
        <f aca="false">IS!U49</f>
        <v>2095.1755722285</v>
      </c>
      <c r="Y6" s="325" t="n">
        <f aca="false">IS!V49</f>
        <v>1784.77919115761</v>
      </c>
      <c r="Z6" s="325" t="n">
        <f aca="false">IS!W49</f>
        <v>1474.38281008672</v>
      </c>
      <c r="AA6" s="325" t="n">
        <f aca="false">IS!X49</f>
        <v>1241.58552428355</v>
      </c>
      <c r="AB6" s="325" t="n">
        <f aca="false">IS!Y49</f>
        <v>1241.58552428355</v>
      </c>
      <c r="AC6" s="325" t="n">
        <f aca="false">IS!Z49</f>
        <v>1241.58552428355</v>
      </c>
      <c r="AD6" s="325" t="n">
        <f aca="false">IS!AA49</f>
        <v>1241.58552428355</v>
      </c>
      <c r="AE6" s="325" t="n">
        <f aca="false">IS!AB49</f>
        <v>1241.58552428355</v>
      </c>
      <c r="AF6" s="325" t="n">
        <f aca="false">IS!AC49</f>
        <v>1241.58552428355</v>
      </c>
      <c r="AG6" s="325" t="n">
        <f aca="false">IS!AD49</f>
        <v>1241.58552428355</v>
      </c>
      <c r="AH6" s="325" t="n">
        <f aca="false">IS!AE49</f>
        <v>1241.58552428355</v>
      </c>
      <c r="AI6" s="325" t="n">
        <f aca="false">IS!AF49</f>
        <v>1241.58552428355</v>
      </c>
      <c r="AJ6" s="325" t="n">
        <f aca="false">IS!AG49</f>
        <v>1241.58552428355</v>
      </c>
    </row>
    <row r="7" customFormat="false" ht="12.75" hidden="false" customHeight="false" outlineLevel="0" collapsed="false">
      <c r="D7" s="324" t="s">
        <v>240</v>
      </c>
      <c r="F7" s="266" t="n">
        <f aca="false">+F5-F6</f>
        <v>2428.42675661388</v>
      </c>
      <c r="G7" s="266" t="n">
        <f aca="false">+G5-G6</f>
        <v>2375.00991516638</v>
      </c>
      <c r="H7" s="266" t="n">
        <f aca="false">+H5-H6</f>
        <v>-3068.00198479473</v>
      </c>
      <c r="I7" s="266" t="n">
        <f aca="false">+I5-I6</f>
        <v>3994.85767507266</v>
      </c>
      <c r="J7" s="266" t="n">
        <f aca="false">+J5-J6</f>
        <v>4753.27955588628</v>
      </c>
      <c r="K7" s="266" t="n">
        <f aca="false">+K5-K6</f>
        <v>5172.3459618343</v>
      </c>
      <c r="L7" s="266" t="n">
        <f aca="false">+L5-L6</f>
        <v>5587.86207185014</v>
      </c>
      <c r="M7" s="266" t="n">
        <f aca="false">+M5-M6</f>
        <v>5999.51706515549</v>
      </c>
      <c r="N7" s="266" t="n">
        <f aca="false">+N5-N6</f>
        <v>6655.0481447013</v>
      </c>
      <c r="O7" s="266" t="n">
        <f aca="false">+O5-O6</f>
        <v>7065.42788316044</v>
      </c>
      <c r="P7" s="266" t="n">
        <f aca="false">+P5-P6</f>
        <v>7734.31250438214</v>
      </c>
      <c r="Q7" s="266" t="n">
        <f aca="false">+Q5-Q6</f>
        <v>8142.88611300117</v>
      </c>
      <c r="R7" s="266" t="n">
        <f aca="false">+R5-R6</f>
        <v>8825.47069825383</v>
      </c>
      <c r="S7" s="266" t="n">
        <f aca="false">+S5-S6</f>
        <v>9231.6473711425</v>
      </c>
      <c r="T7" s="266" t="n">
        <f aca="false">+T5-T6</f>
        <v>9632.07024603102</v>
      </c>
      <c r="U7" s="266" t="n">
        <f aca="false">+U5-U6</f>
        <v>10026.3078927767</v>
      </c>
      <c r="V7" s="266" t="n">
        <f aca="false">+V5-V6</f>
        <v>10413.9081738467</v>
      </c>
      <c r="W7" s="266" t="n">
        <f aca="false">+W5-W6</f>
        <v>10794.3973901611</v>
      </c>
      <c r="X7" s="266" t="n">
        <f aca="false">+X5-X6</f>
        <v>11167.2793943248</v>
      </c>
      <c r="Y7" s="266" t="n">
        <f aca="false">+Y5-Y6</f>
        <v>11532.0346700569</v>
      </c>
      <c r="Z7" s="266" t="n">
        <f aca="false">+Z5-Z6</f>
        <v>11888.1193765909</v>
      </c>
      <c r="AA7" s="266" t="n">
        <f aca="false">+AA5-AA6</f>
        <v>12157.3652615017</v>
      </c>
      <c r="AB7" s="266" t="n">
        <f aca="false">+AB5-AB6</f>
        <v>12191.193686941</v>
      </c>
      <c r="AC7" s="266" t="n">
        <f aca="false">+AC5-AC6</f>
        <v>12222.3233335017</v>
      </c>
      <c r="AD7" s="266" t="n">
        <f aca="false">+AD5-AD6</f>
        <v>12250.6732378174</v>
      </c>
      <c r="AE7" s="266" t="n">
        <f aca="false">+AE5-AE6</f>
        <v>12276.160007621</v>
      </c>
      <c r="AF7" s="266" t="n">
        <f aca="false">+AF5-AF6</f>
        <v>12298.6977488769</v>
      </c>
      <c r="AG7" s="266" t="n">
        <f aca="false">+AG5-AG6</f>
        <v>12318.1979907288</v>
      </c>
      <c r="AH7" s="266" t="n">
        <f aca="false">+AH5-AH6</f>
        <v>12334.5696081945</v>
      </c>
      <c r="AI7" s="266" t="n">
        <f aca="false">+AI5-AI6</f>
        <v>12347.7187425424</v>
      </c>
      <c r="AJ7" s="266" t="n">
        <f aca="false">+AJ5-AJ6</f>
        <v>12357.5487192791</v>
      </c>
    </row>
    <row r="8" customFormat="false" ht="12.75" hidden="false" customHeight="false" outlineLevel="0" collapsed="false">
      <c r="D8" s="324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  <c r="Q8" s="266"/>
      <c r="R8" s="266"/>
      <c r="S8" s="266"/>
      <c r="T8" s="266"/>
      <c r="U8" s="266"/>
      <c r="V8" s="266"/>
      <c r="W8" s="266"/>
      <c r="X8" s="266"/>
      <c r="Y8" s="266"/>
      <c r="Z8" s="266"/>
      <c r="AA8" s="266"/>
      <c r="AB8" s="266"/>
      <c r="AC8" s="266"/>
      <c r="AD8" s="266"/>
      <c r="AE8" s="266"/>
      <c r="AF8" s="266"/>
      <c r="AG8" s="266"/>
      <c r="AH8" s="266"/>
      <c r="AI8" s="266"/>
      <c r="AJ8" s="266"/>
    </row>
    <row r="9" customFormat="false" ht="12.75" hidden="false" customHeight="false" outlineLevel="0" collapsed="false">
      <c r="D9" s="324" t="s">
        <v>262</v>
      </c>
      <c r="F9" s="266" t="n">
        <f aca="false">+-[4]Tax!B46+-[4]Tax!B30</f>
        <v>-0</v>
      </c>
      <c r="G9" s="266" t="n">
        <f aca="false">+-[4]Tax!C46+-[4]Tax!C30</f>
        <v>-0</v>
      </c>
      <c r="H9" s="266" t="n">
        <f aca="false">+-[4]Tax!D46+-[4]Tax!D30</f>
        <v>-0</v>
      </c>
      <c r="I9" s="266" t="n">
        <f aca="false">+-[4]Tax!E46+-[4]Tax!E30</f>
        <v>-0</v>
      </c>
      <c r="J9" s="266" t="n">
        <f aca="false">+-[4]Tax!F46+-[4]Tax!F30</f>
        <v>-0</v>
      </c>
      <c r="K9" s="266" t="n">
        <f aca="false">+-[4]Tax!G46+-[4]Tax!G30</f>
        <v>-0</v>
      </c>
      <c r="L9" s="266" t="n">
        <f aca="false">+-[4]Tax!H46+-[4]Tax!H30</f>
        <v>-0</v>
      </c>
      <c r="M9" s="266" t="n">
        <f aca="false">+-[4]Tax!I46+-[4]Tax!I30</f>
        <v>-0</v>
      </c>
      <c r="N9" s="266" t="n">
        <f aca="false">+-[4]Tax!J46+-[4]Tax!J30</f>
        <v>-0</v>
      </c>
      <c r="O9" s="266" t="n">
        <f aca="false">+-[4]Tax!K46+-[4]Tax!K30</f>
        <v>-0</v>
      </c>
      <c r="P9" s="266" t="n">
        <f aca="false">+-[4]Tax!L46+-[4]Tax!L30</f>
        <v>-0</v>
      </c>
      <c r="Q9" s="266" t="n">
        <f aca="false">+-[4]Tax!M46+-[4]Tax!M30</f>
        <v>-0</v>
      </c>
      <c r="R9" s="266" t="n">
        <f aca="false">+-[4]Tax!N46+-[4]Tax!N30</f>
        <v>-0</v>
      </c>
      <c r="S9" s="266" t="n">
        <f aca="false">+-[4]Tax!O46+-[4]Tax!O30</f>
        <v>-0</v>
      </c>
      <c r="T9" s="266" t="n">
        <f aca="false">+-[4]Tax!P46+-[4]Tax!P30</f>
        <v>-0</v>
      </c>
      <c r="U9" s="266" t="n">
        <f aca="false">+-[4]Tax!Q46+-[4]Tax!Q30</f>
        <v>-0</v>
      </c>
      <c r="V9" s="266" t="n">
        <f aca="false">+-[4]Tax!R46+-[4]Tax!R30</f>
        <v>-0</v>
      </c>
      <c r="W9" s="266" t="n">
        <f aca="false">+-[4]Tax!S46+-[4]Tax!S30</f>
        <v>-0</v>
      </c>
      <c r="X9" s="266" t="n">
        <f aca="false">+-[4]Tax!T46+-[4]Tax!T30</f>
        <v>-3158.69714189795</v>
      </c>
      <c r="Y9" s="266" t="n">
        <f aca="false">+-[4]Tax!U46+-[4]Tax!U30</f>
        <v>-4127.70197267528</v>
      </c>
      <c r="Z9" s="266" t="n">
        <f aca="false">+-[4]Tax!V46+-[4]Tax!V30</f>
        <v>-4145.20697267528</v>
      </c>
      <c r="AA9" s="266" t="n">
        <f aca="false">+-[4]Tax!W46+-[4]Tax!W30</f>
        <v>-4145.20697267528</v>
      </c>
      <c r="AB9" s="266" t="n">
        <f aca="false">+-[4]Tax!X46+-[4]Tax!X30</f>
        <v>-4145.20697267528</v>
      </c>
      <c r="AC9" s="266" t="n">
        <f aca="false">+-[4]Tax!Y46+-[4]Tax!Y30</f>
        <v>-4145.20697267528</v>
      </c>
      <c r="AD9" s="266" t="n">
        <f aca="false">+-[4]Tax!Z46+-[4]Tax!Z30</f>
        <v>-4145.20697267528</v>
      </c>
      <c r="AE9" s="266" t="n">
        <f aca="false">+-[4]Tax!AA46+-[4]Tax!AA30</f>
        <v>-0</v>
      </c>
      <c r="AF9" s="266" t="n">
        <f aca="false">+-[4]Tax!AB46+-[4]Tax!AB30</f>
        <v>-0</v>
      </c>
      <c r="AG9" s="266" t="n">
        <f aca="false">+-[4]Tax!AC46+-[4]Tax!AC30</f>
        <v>-0</v>
      </c>
      <c r="AH9" s="266" t="n">
        <f aca="false">+-[4]Tax!AD46+-[4]Tax!AD30</f>
        <v>-0</v>
      </c>
      <c r="AI9" s="266" t="n">
        <f aca="false">+-[4]Tax!AE46+-[4]Tax!AE30</f>
        <v>-0</v>
      </c>
      <c r="AJ9" s="266" t="n">
        <f aca="false">+-[4]Tax!AF46+-[4]Tax!AF30</f>
        <v>-0</v>
      </c>
    </row>
    <row r="10" customFormat="false" ht="12.75" hidden="false" customHeight="false" outlineLevel="0" collapsed="false">
      <c r="D10" s="324" t="s">
        <v>263</v>
      </c>
      <c r="E10" s="326"/>
      <c r="F10" s="271" t="n">
        <f aca="false">Debt!B87</f>
        <v>4434.23401529842</v>
      </c>
      <c r="G10" s="271" t="n">
        <f aca="false">Debt!C87</f>
        <v>4434.23401529842</v>
      </c>
      <c r="H10" s="271" t="n">
        <f aca="false">Debt!D87</f>
        <v>4434.23401529842</v>
      </c>
      <c r="I10" s="271" t="n">
        <f aca="false">Debt!E87</f>
        <v>4434.23401529842</v>
      </c>
      <c r="J10" s="271" t="n">
        <f aca="false">Debt!F87</f>
        <v>4434.23401529842</v>
      </c>
      <c r="K10" s="271" t="n">
        <f aca="false">Debt!G87</f>
        <v>4434.23401529842</v>
      </c>
      <c r="L10" s="271" t="n">
        <f aca="false">Debt!H87</f>
        <v>4434.23401529842</v>
      </c>
      <c r="M10" s="271" t="n">
        <f aca="false">Debt!I87</f>
        <v>4434.23401529842</v>
      </c>
      <c r="N10" s="271" t="n">
        <f aca="false">Debt!J87</f>
        <v>4434.23401529842</v>
      </c>
      <c r="O10" s="271" t="n">
        <f aca="false">Debt!K87</f>
        <v>4434.23401529842</v>
      </c>
      <c r="P10" s="271" t="n">
        <f aca="false">Debt!L87</f>
        <v>4434.23401529842</v>
      </c>
      <c r="Q10" s="271" t="n">
        <f aca="false">Debt!M87</f>
        <v>4434.23401529842</v>
      </c>
      <c r="R10" s="271" t="n">
        <f aca="false">Debt!N87</f>
        <v>4434.23401529842</v>
      </c>
      <c r="S10" s="271" t="n">
        <f aca="false">Debt!O87</f>
        <v>4434.23401529842</v>
      </c>
      <c r="T10" s="271" t="n">
        <f aca="false">Debt!P87</f>
        <v>4434.23401529842</v>
      </c>
      <c r="U10" s="271" t="n">
        <f aca="false">Debt!Q87</f>
        <v>4434.23401529842</v>
      </c>
      <c r="V10" s="271" t="n">
        <f aca="false">Debt!R87</f>
        <v>4434.23401529842</v>
      </c>
      <c r="W10" s="271" t="n">
        <f aca="false">Debt!S87</f>
        <v>4434.23401529842</v>
      </c>
      <c r="X10" s="271" t="n">
        <f aca="false">Debt!T87</f>
        <v>4434.23401529842</v>
      </c>
      <c r="Y10" s="271" t="n">
        <f aca="false">Debt!U87</f>
        <v>4434.23401529842</v>
      </c>
      <c r="Z10" s="271" t="n">
        <f aca="false">Debt!V87</f>
        <v>4434.23401529842</v>
      </c>
      <c r="AA10" s="271" t="n">
        <f aca="false">Debt!W87</f>
        <v>0</v>
      </c>
      <c r="AB10" s="271" t="n">
        <f aca="false">Debt!X87</f>
        <v>0</v>
      </c>
      <c r="AC10" s="271" t="n">
        <f aca="false">Debt!Y87</f>
        <v>0</v>
      </c>
      <c r="AD10" s="271" t="n">
        <f aca="false">Debt!Z87</f>
        <v>0</v>
      </c>
      <c r="AE10" s="271" t="n">
        <f aca="false">Debt!AA87</f>
        <v>0</v>
      </c>
      <c r="AF10" s="271" t="n">
        <f aca="false">Debt!AB87</f>
        <v>0</v>
      </c>
      <c r="AG10" s="271" t="n">
        <f aca="false">Debt!AC87</f>
        <v>0</v>
      </c>
      <c r="AH10" s="271" t="n">
        <f aca="false">Debt!AD87</f>
        <v>0</v>
      </c>
      <c r="AI10" s="271" t="n">
        <f aca="false">Debt!AE87</f>
        <v>0</v>
      </c>
      <c r="AJ10" s="271" t="n">
        <f aca="false">Debt!AF87</f>
        <v>0</v>
      </c>
    </row>
    <row r="11" customFormat="false" ht="12.75" hidden="false" customHeight="false" outlineLevel="0" collapsed="false">
      <c r="D11" s="324" t="s">
        <v>264</v>
      </c>
      <c r="F11" s="327" t="n">
        <v>0</v>
      </c>
      <c r="G11" s="328" t="n">
        <f aca="false">+F11</f>
        <v>0</v>
      </c>
      <c r="H11" s="328" t="n">
        <f aca="false">+G11</f>
        <v>0</v>
      </c>
      <c r="I11" s="328" t="n">
        <f aca="false">+H11</f>
        <v>0</v>
      </c>
      <c r="J11" s="328" t="n">
        <f aca="false">+I11</f>
        <v>0</v>
      </c>
      <c r="K11" s="328" t="n">
        <f aca="false">+J11</f>
        <v>0</v>
      </c>
      <c r="L11" s="328" t="n">
        <f aca="false">+K11</f>
        <v>0</v>
      </c>
      <c r="M11" s="328" t="n">
        <f aca="false">+L11</f>
        <v>0</v>
      </c>
      <c r="N11" s="328" t="n">
        <f aca="false">+M11</f>
        <v>0</v>
      </c>
      <c r="O11" s="328" t="n">
        <f aca="false">+N11</f>
        <v>0</v>
      </c>
      <c r="P11" s="328" t="n">
        <f aca="false">+O11</f>
        <v>0</v>
      </c>
      <c r="Q11" s="328" t="n">
        <f aca="false">+P11</f>
        <v>0</v>
      </c>
      <c r="R11" s="328" t="n">
        <f aca="false">+Q11</f>
        <v>0</v>
      </c>
      <c r="S11" s="328" t="n">
        <f aca="false">+R11</f>
        <v>0</v>
      </c>
      <c r="T11" s="328" t="n">
        <f aca="false">+S11</f>
        <v>0</v>
      </c>
      <c r="U11" s="328" t="n">
        <f aca="false">+T11</f>
        <v>0</v>
      </c>
      <c r="V11" s="328" t="n">
        <f aca="false">+U11</f>
        <v>0</v>
      </c>
      <c r="W11" s="328" t="n">
        <f aca="false">+V11</f>
        <v>0</v>
      </c>
      <c r="X11" s="328" t="n">
        <f aca="false">+W11</f>
        <v>0</v>
      </c>
      <c r="Y11" s="328" t="n">
        <f aca="false">+X11</f>
        <v>0</v>
      </c>
      <c r="Z11" s="328" t="n">
        <f aca="false">+Y11</f>
        <v>0</v>
      </c>
      <c r="AA11" s="328" t="n">
        <f aca="false">+Z11</f>
        <v>0</v>
      </c>
      <c r="AB11" s="328" t="n">
        <f aca="false">+AA11</f>
        <v>0</v>
      </c>
      <c r="AC11" s="328" t="n">
        <f aca="false">+AB11</f>
        <v>0</v>
      </c>
      <c r="AD11" s="328" t="n">
        <f aca="false">+AC11</f>
        <v>0</v>
      </c>
      <c r="AE11" s="328" t="n">
        <f aca="false">+AD11</f>
        <v>0</v>
      </c>
      <c r="AF11" s="328" t="n">
        <f aca="false">+AE11</f>
        <v>0</v>
      </c>
      <c r="AG11" s="328" t="n">
        <f aca="false">+AF11</f>
        <v>0</v>
      </c>
      <c r="AH11" s="328" t="n">
        <f aca="false">+AG11</f>
        <v>0</v>
      </c>
      <c r="AI11" s="328" t="n">
        <f aca="false">+AH11</f>
        <v>0</v>
      </c>
      <c r="AJ11" s="328" t="n">
        <f aca="false">+AI11</f>
        <v>0</v>
      </c>
    </row>
    <row r="12" customFormat="false" ht="12.75" hidden="false" customHeight="false" outlineLevel="0" collapsed="false">
      <c r="D12" s="324" t="s">
        <v>265</v>
      </c>
      <c r="F12" s="266" t="n">
        <f aca="false">+F7+F9-F10-F11</f>
        <v>-2005.80725868454</v>
      </c>
      <c r="G12" s="266" t="n">
        <f aca="false">+G7+G9-G10-G11</f>
        <v>-2059.22410013204</v>
      </c>
      <c r="H12" s="266" t="n">
        <f aca="false">+H7+H9-H10-H11</f>
        <v>-7502.23600009315</v>
      </c>
      <c r="I12" s="266" t="n">
        <f aca="false">+I7+I9-I10-I11</f>
        <v>-439.376340225759</v>
      </c>
      <c r="J12" s="266" t="n">
        <f aca="false">+J7+J9-J10-J11</f>
        <v>319.04554058786</v>
      </c>
      <c r="K12" s="266" t="n">
        <f aca="false">+K7+K9-K10-K11</f>
        <v>738.111946535877</v>
      </c>
      <c r="L12" s="266" t="n">
        <f aca="false">+L7+L9-L10-L11</f>
        <v>1153.62805655172</v>
      </c>
      <c r="M12" s="266" t="n">
        <f aca="false">+M7+M9-M10-M11</f>
        <v>1565.28304985707</v>
      </c>
      <c r="N12" s="266" t="n">
        <f aca="false">+N7+N9-N10-N11</f>
        <v>2220.81412940288</v>
      </c>
      <c r="O12" s="266" t="n">
        <f aca="false">+O7+O9-O10-O11</f>
        <v>2631.19386786202</v>
      </c>
      <c r="P12" s="266" t="n">
        <f aca="false">+P7+P9-P10-P11</f>
        <v>3300.07848908372</v>
      </c>
      <c r="Q12" s="266" t="n">
        <f aca="false">+Q7+Q9-Q10-Q11</f>
        <v>3708.65209770275</v>
      </c>
      <c r="R12" s="266" t="n">
        <f aca="false">+R7+R9-R10-R11</f>
        <v>4391.23668295541</v>
      </c>
      <c r="S12" s="266" t="n">
        <f aca="false">+S7+S9-S10-S11</f>
        <v>4797.41335584408</v>
      </c>
      <c r="T12" s="266" t="n">
        <f aca="false">+T7+T9-T10-T11</f>
        <v>5197.8362307326</v>
      </c>
      <c r="U12" s="266" t="n">
        <f aca="false">+U7+U9-U10-U11</f>
        <v>5592.07387747832</v>
      </c>
      <c r="V12" s="266" t="n">
        <f aca="false">+V7+V9-V10-V11</f>
        <v>5979.67415854823</v>
      </c>
      <c r="W12" s="266" t="n">
        <f aca="false">+W7+W9-W10-W11</f>
        <v>6360.1633748627</v>
      </c>
      <c r="X12" s="266" t="n">
        <f aca="false">+X7+X9-X10-X11</f>
        <v>3574.34823712844</v>
      </c>
      <c r="Y12" s="266" t="n">
        <f aca="false">+Y7+Y9-Y10-Y11</f>
        <v>2970.09868208324</v>
      </c>
      <c r="Z12" s="266" t="n">
        <f aca="false">+Z7+Z9-Z10-Z11</f>
        <v>3308.67838861716</v>
      </c>
      <c r="AA12" s="266" t="n">
        <f aca="false">+AA7+AA9-AA10-AA11</f>
        <v>8012.15828882646</v>
      </c>
      <c r="AB12" s="266" t="n">
        <f aca="false">+AB7+AB9-AB10-AB11</f>
        <v>8045.98671426568</v>
      </c>
      <c r="AC12" s="266" t="n">
        <f aca="false">+AC7+AC9-AC10-AC11</f>
        <v>8077.11636082637</v>
      </c>
      <c r="AD12" s="266" t="n">
        <f aca="false">+AD7+AD9-AD10-AD11</f>
        <v>8105.46626514216</v>
      </c>
      <c r="AE12" s="266" t="n">
        <f aca="false">+AE7+AE9-AE10-AE11</f>
        <v>12276.160007621</v>
      </c>
      <c r="AF12" s="266" t="n">
        <f aca="false">+AF7+AF9-AF10-AF11</f>
        <v>12298.6977488769</v>
      </c>
      <c r="AG12" s="266" t="n">
        <f aca="false">+AG7+AG9-AG10-AG11</f>
        <v>12318.1979907288</v>
      </c>
      <c r="AH12" s="266" t="n">
        <f aca="false">+AH7+AH9-AH10-AH11</f>
        <v>12334.5696081945</v>
      </c>
      <c r="AI12" s="266" t="n">
        <f aca="false">+AI7+AI9-AI10-AI11</f>
        <v>12347.7187425424</v>
      </c>
      <c r="AJ12" s="266" t="n">
        <f aca="false">+AJ7+AJ9-AJ10-AJ11</f>
        <v>12357.5487192791</v>
      </c>
    </row>
    <row r="13" customFormat="false" ht="12.75" hidden="false" customHeight="false" outlineLevel="0" collapsed="false">
      <c r="D13" s="324"/>
    </row>
    <row r="14" customFormat="false" ht="12.75" hidden="false" customHeight="false" outlineLevel="0" collapsed="false">
      <c r="D14" s="324"/>
    </row>
    <row r="15" customFormat="false" ht="13.5" hidden="false" customHeight="false" outlineLevel="0" collapsed="false">
      <c r="D15" s="329"/>
      <c r="E15" s="322" t="n">
        <v>37104</v>
      </c>
      <c r="F15" s="323" t="n">
        <f aca="false">+F3</f>
        <v>37256</v>
      </c>
      <c r="G15" s="323" t="n">
        <f aca="false">+G3</f>
        <v>37621</v>
      </c>
      <c r="H15" s="323" t="n">
        <f aca="false">+H3</f>
        <v>37986</v>
      </c>
      <c r="I15" s="323" t="n">
        <f aca="false">+I3</f>
        <v>38352</v>
      </c>
      <c r="J15" s="323" t="n">
        <f aca="false">+J3</f>
        <v>38717</v>
      </c>
      <c r="K15" s="323" t="n">
        <f aca="false">+K3</f>
        <v>39082</v>
      </c>
      <c r="L15" s="323" t="n">
        <f aca="false">+L3</f>
        <v>39447</v>
      </c>
      <c r="M15" s="323" t="n">
        <f aca="false">+M3</f>
        <v>39813</v>
      </c>
      <c r="N15" s="323" t="n">
        <f aca="false">+N3</f>
        <v>40178</v>
      </c>
      <c r="O15" s="323" t="n">
        <f aca="false">+O3</f>
        <v>40543</v>
      </c>
      <c r="P15" s="323" t="n">
        <f aca="false">+P3</f>
        <v>40908</v>
      </c>
      <c r="Q15" s="323" t="n">
        <f aca="false">+Q3</f>
        <v>41274</v>
      </c>
      <c r="R15" s="323" t="n">
        <f aca="false">+R3</f>
        <v>41639</v>
      </c>
      <c r="S15" s="323" t="n">
        <f aca="false">+S3</f>
        <v>42004</v>
      </c>
      <c r="T15" s="323" t="n">
        <f aca="false">+T3</f>
        <v>42369</v>
      </c>
      <c r="U15" s="323" t="n">
        <f aca="false">+U3</f>
        <v>42735</v>
      </c>
      <c r="V15" s="323" t="n">
        <f aca="false">+V3</f>
        <v>43100</v>
      </c>
      <c r="W15" s="323" t="n">
        <f aca="false">+W3</f>
        <v>43465</v>
      </c>
      <c r="X15" s="330" t="n">
        <v>43466</v>
      </c>
      <c r="Z15" s="331" t="s">
        <v>266</v>
      </c>
      <c r="AA15" s="332"/>
      <c r="AB15" s="333"/>
      <c r="AC15" s="333"/>
      <c r="AD15" s="333"/>
      <c r="AE15" s="333"/>
      <c r="AF15" s="333"/>
      <c r="AG15" s="333"/>
      <c r="AH15" s="333"/>
      <c r="AI15" s="333"/>
      <c r="AJ15" s="333"/>
    </row>
    <row r="16" customFormat="false" ht="12.75" hidden="false" customHeight="false" outlineLevel="0" collapsed="false">
      <c r="D16" s="324"/>
      <c r="Z16" s="334"/>
      <c r="AA16" s="335"/>
    </row>
    <row r="17" customFormat="false" ht="12.75" hidden="false" customHeight="false" outlineLevel="0" collapsed="false">
      <c r="D17" s="324" t="s">
        <v>267</v>
      </c>
      <c r="E17" s="336" t="n">
        <v>0.15</v>
      </c>
      <c r="Z17" s="334" t="s">
        <v>268</v>
      </c>
      <c r="AA17" s="337" t="n">
        <f aca="false">Assumptions!C44</f>
        <v>110855.850382461</v>
      </c>
    </row>
    <row r="18" customFormat="false" ht="12.75" hidden="false" customHeight="false" outlineLevel="0" collapsed="false">
      <c r="D18" s="324" t="s">
        <v>269</v>
      </c>
      <c r="E18" s="266" t="n">
        <f aca="false">-Assumptions!C11</f>
        <v>-0</v>
      </c>
      <c r="F18" s="266" t="n">
        <f aca="false">+E22</f>
        <v>0</v>
      </c>
      <c r="G18" s="266" t="n">
        <f aca="false">+F22</f>
        <v>0</v>
      </c>
      <c r="H18" s="266" t="n">
        <f aca="false">+G22</f>
        <v>0</v>
      </c>
      <c r="I18" s="266" t="n">
        <f aca="false">+H22</f>
        <v>0</v>
      </c>
      <c r="J18" s="266" t="n">
        <f aca="false">+I22</f>
        <v>0</v>
      </c>
      <c r="K18" s="266" t="n">
        <f aca="false">+J22</f>
        <v>319.04554058786</v>
      </c>
      <c r="L18" s="266" t="n">
        <f aca="false">+K22</f>
        <v>1105.01431821192</v>
      </c>
      <c r="M18" s="266" t="n">
        <f aca="false">+L22</f>
        <v>2424.39452249542</v>
      </c>
      <c r="N18" s="266" t="n">
        <f aca="false">+M22</f>
        <v>4353.33675072681</v>
      </c>
      <c r="O18" s="266" t="n">
        <f aca="false">+N22</f>
        <v>7227.15139273871</v>
      </c>
      <c r="P18" s="266" t="n">
        <f aca="false">+O22</f>
        <v>10942.4179695115</v>
      </c>
      <c r="Q18" s="266" t="n">
        <f aca="false">+P22</f>
        <v>15883.859154022</v>
      </c>
      <c r="R18" s="266" t="n">
        <f aca="false">+Q22</f>
        <v>21975.090124828</v>
      </c>
      <c r="S18" s="266" t="n">
        <f aca="false">+R22</f>
        <v>29662.5903265076</v>
      </c>
      <c r="T18" s="266" t="n">
        <f aca="false">+S22</f>
        <v>38909.3922313279</v>
      </c>
      <c r="U18" s="266" t="n">
        <f aca="false">+T22</f>
        <v>49943.6372967597</v>
      </c>
      <c r="V18" s="266" t="n">
        <f aca="false">+U22</f>
        <v>63027.2567687519</v>
      </c>
      <c r="W18" s="266" t="n">
        <f aca="false">+V22</f>
        <v>78461.019442613</v>
      </c>
      <c r="Z18" s="334" t="s">
        <v>270</v>
      </c>
      <c r="AA18" s="337" t="n">
        <f aca="false">Assumptions!C11</f>
        <v>0</v>
      </c>
    </row>
    <row r="19" customFormat="false" ht="12.75" hidden="false" customHeight="false" outlineLevel="0" collapsed="false">
      <c r="D19" s="324" t="s">
        <v>271</v>
      </c>
      <c r="F19" s="271" t="n">
        <f aca="false">+-E18*$E$17</f>
        <v>0</v>
      </c>
      <c r="G19" s="271" t="n">
        <f aca="false">+-G18*$E$17</f>
        <v>-0</v>
      </c>
      <c r="H19" s="271" t="n">
        <f aca="false">+-H18*$E$17</f>
        <v>-0</v>
      </c>
      <c r="I19" s="271" t="n">
        <f aca="false">+-I18*$E$17</f>
        <v>-0</v>
      </c>
      <c r="J19" s="271" t="n">
        <f aca="false">+-J18*$E$17</f>
        <v>-0</v>
      </c>
      <c r="K19" s="271" t="n">
        <f aca="false">+-K18*$E$17</f>
        <v>-47.856831088179</v>
      </c>
      <c r="L19" s="271" t="n">
        <f aca="false">+-L18*$E$17</f>
        <v>-165.752147731787</v>
      </c>
      <c r="M19" s="271" t="n">
        <f aca="false">+-M18*$E$17</f>
        <v>-363.659178374313</v>
      </c>
      <c r="N19" s="271" t="n">
        <f aca="false">+-N18*$E$17</f>
        <v>-653.000512609022</v>
      </c>
      <c r="O19" s="271" t="n">
        <f aca="false">+-O18*$E$17</f>
        <v>-1084.07270891081</v>
      </c>
      <c r="P19" s="271" t="n">
        <f aca="false">+-P18*$E$17</f>
        <v>-1641.36269542673</v>
      </c>
      <c r="Q19" s="271" t="n">
        <f aca="false">+-Q18*$E$17</f>
        <v>-2382.5788731033</v>
      </c>
      <c r="R19" s="271" t="n">
        <f aca="false">+-R18*$E$17</f>
        <v>-3296.2635187242</v>
      </c>
      <c r="S19" s="271" t="n">
        <f aca="false">+-S18*$E$17</f>
        <v>-4449.38854897615</v>
      </c>
      <c r="T19" s="271" t="n">
        <f aca="false">+-T18*$E$17</f>
        <v>-5836.40883469918</v>
      </c>
      <c r="U19" s="271" t="n">
        <f aca="false">+-U18*$E$17</f>
        <v>-7491.54559451395</v>
      </c>
      <c r="V19" s="271" t="n">
        <f aca="false">+-V18*$E$17</f>
        <v>-9454.08851531279</v>
      </c>
      <c r="W19" s="271" t="n">
        <f aca="false">+-W18*$E$17</f>
        <v>-11769.1529163919</v>
      </c>
      <c r="Z19" s="334" t="s">
        <v>272</v>
      </c>
      <c r="AA19" s="337" t="n">
        <f aca="false">W22</f>
        <v>96590.3357338676</v>
      </c>
    </row>
    <row r="20" customFormat="false" ht="12.75" hidden="false" customHeight="false" outlineLevel="0" collapsed="false">
      <c r="D20" s="324" t="s">
        <v>273</v>
      </c>
      <c r="F20" s="266" t="n">
        <f aca="false">+F12</f>
        <v>-2005.80725868454</v>
      </c>
      <c r="G20" s="266" t="n">
        <f aca="false">+G12</f>
        <v>-2059.22410013204</v>
      </c>
      <c r="H20" s="266" t="n">
        <f aca="false">+H12</f>
        <v>-7502.23600009315</v>
      </c>
      <c r="I20" s="266" t="n">
        <f aca="false">+I12</f>
        <v>-439.376340225759</v>
      </c>
      <c r="J20" s="266" t="n">
        <f aca="false">+J12</f>
        <v>319.04554058786</v>
      </c>
      <c r="K20" s="266" t="n">
        <f aca="false">+K12</f>
        <v>738.111946535877</v>
      </c>
      <c r="L20" s="266" t="n">
        <f aca="false">+L12</f>
        <v>1153.62805655172</v>
      </c>
      <c r="M20" s="266" t="n">
        <f aca="false">+M12</f>
        <v>1565.28304985707</v>
      </c>
      <c r="N20" s="266" t="n">
        <f aca="false">+N12</f>
        <v>2220.81412940288</v>
      </c>
      <c r="O20" s="266" t="n">
        <f aca="false">+O12</f>
        <v>2631.19386786202</v>
      </c>
      <c r="P20" s="266" t="n">
        <f aca="false">+P12</f>
        <v>3300.07848908372</v>
      </c>
      <c r="Q20" s="266" t="n">
        <f aca="false">+Q12</f>
        <v>3708.65209770275</v>
      </c>
      <c r="R20" s="266" t="n">
        <f aca="false">+R12</f>
        <v>4391.23668295541</v>
      </c>
      <c r="S20" s="266" t="n">
        <f aca="false">+S12</f>
        <v>4797.41335584408</v>
      </c>
      <c r="T20" s="266" t="n">
        <f aca="false">+T12</f>
        <v>5197.8362307326</v>
      </c>
      <c r="U20" s="266" t="n">
        <f aca="false">+U12</f>
        <v>5592.07387747832</v>
      </c>
      <c r="V20" s="266" t="n">
        <f aca="false">+V12</f>
        <v>5979.67415854823</v>
      </c>
      <c r="W20" s="266" t="n">
        <f aca="false">+W12</f>
        <v>6360.1633748627</v>
      </c>
      <c r="Z20" s="334" t="s">
        <v>274</v>
      </c>
      <c r="AA20" s="335"/>
    </row>
    <row r="21" customFormat="false" ht="12.75" hidden="false" customHeight="false" outlineLevel="0" collapsed="false">
      <c r="D21" s="324" t="s">
        <v>275</v>
      </c>
      <c r="F21" s="338" t="n">
        <f aca="false">+IF(F20&gt;F19,F20-F19,0)</f>
        <v>0</v>
      </c>
      <c r="G21" s="338" t="n">
        <f aca="false">+IF(G20&gt;G19,G20-G19,0)</f>
        <v>0</v>
      </c>
      <c r="H21" s="338" t="n">
        <f aca="false">+IF(H20&gt;H19,H20-H19,0)</f>
        <v>0</v>
      </c>
      <c r="I21" s="338" t="n">
        <f aca="false">+IF(I20&gt;I19,I20-I19,0)</f>
        <v>0</v>
      </c>
      <c r="J21" s="338" t="n">
        <f aca="false">+IF(J20&gt;J19,J20-J19,0)</f>
        <v>319.04554058786</v>
      </c>
      <c r="K21" s="338" t="n">
        <f aca="false">+IF(K20&gt;K19,K20-K19,0)</f>
        <v>785.968777624056</v>
      </c>
      <c r="L21" s="338" t="n">
        <f aca="false">+IF(L20&gt;L19,L20-L19,0)</f>
        <v>1319.38020428351</v>
      </c>
      <c r="M21" s="338" t="n">
        <f aca="false">+IF(M20&gt;M19,M20-M19,0)</f>
        <v>1928.94222823139</v>
      </c>
      <c r="N21" s="338" t="n">
        <f aca="false">+IF(N20&gt;N19,N20-N19,0)</f>
        <v>2873.8146420119</v>
      </c>
      <c r="O21" s="338" t="n">
        <f aca="false">+IF(O20&gt;O19,O20-O19,0)</f>
        <v>3715.26657677283</v>
      </c>
      <c r="P21" s="338" t="n">
        <f aca="false">+IF(P20&gt;P19,P20-P19,0)</f>
        <v>4941.44118451045</v>
      </c>
      <c r="Q21" s="338" t="n">
        <f aca="false">+IF(Q20&gt;Q19,Q20-Q19,0)</f>
        <v>6091.23097080604</v>
      </c>
      <c r="R21" s="338" t="n">
        <f aca="false">+IF(R20&gt;R19,R20-R19,0)</f>
        <v>7687.50020167962</v>
      </c>
      <c r="S21" s="338" t="n">
        <f aca="false">+IF(S20&gt;S19,S20-S19,0)</f>
        <v>9246.80190482023</v>
      </c>
      <c r="T21" s="338" t="n">
        <f aca="false">+IF(T20&gt;T19,T20-T19,0)</f>
        <v>11034.2450654318</v>
      </c>
      <c r="U21" s="338" t="n">
        <f aca="false">+IF(U20&gt;U19,U20-U19,0)</f>
        <v>13083.6194719923</v>
      </c>
      <c r="V21" s="338" t="n">
        <f aca="false">+IF(V20&gt;V19,V20-V19,0)</f>
        <v>15433.762673861</v>
      </c>
      <c r="W21" s="338" t="n">
        <f aca="false">+IF(W20&gt;W19,W20-W19,0)</f>
        <v>18129.3162912546</v>
      </c>
      <c r="Z21" s="339" t="s">
        <v>276</v>
      </c>
      <c r="AA21" s="340" t="n">
        <f aca="false">+AA19/AA17</f>
        <v>0.871314733508643</v>
      </c>
    </row>
    <row r="22" customFormat="false" ht="12.75" hidden="false" customHeight="false" outlineLevel="0" collapsed="false">
      <c r="D22" s="324" t="s">
        <v>277</v>
      </c>
      <c r="E22" s="266" t="n">
        <f aca="false">+E18+E21</f>
        <v>0</v>
      </c>
      <c r="F22" s="266" t="n">
        <f aca="false">+F18+F21</f>
        <v>0</v>
      </c>
      <c r="G22" s="266" t="n">
        <f aca="false">+G18+G21</f>
        <v>0</v>
      </c>
      <c r="H22" s="266" t="n">
        <f aca="false">+H18+H21</f>
        <v>0</v>
      </c>
      <c r="I22" s="266" t="n">
        <f aca="false">+I18+I21</f>
        <v>0</v>
      </c>
      <c r="J22" s="266" t="n">
        <f aca="false">+J18+J21</f>
        <v>319.04554058786</v>
      </c>
      <c r="K22" s="266" t="n">
        <f aca="false">+K18+K21</f>
        <v>1105.01431821192</v>
      </c>
      <c r="L22" s="266" t="n">
        <f aca="false">+L18+L21</f>
        <v>2424.39452249542</v>
      </c>
      <c r="M22" s="266" t="n">
        <f aca="false">+M18+M21</f>
        <v>4353.33675072681</v>
      </c>
      <c r="N22" s="266" t="n">
        <f aca="false">+N18+N21</f>
        <v>7227.15139273871</v>
      </c>
      <c r="O22" s="266" t="n">
        <f aca="false">+O18+O21</f>
        <v>10942.4179695115</v>
      </c>
      <c r="P22" s="266" t="n">
        <f aca="false">+P18+P21</f>
        <v>15883.859154022</v>
      </c>
      <c r="Q22" s="266" t="n">
        <f aca="false">+Q18+Q21</f>
        <v>21975.090124828</v>
      </c>
      <c r="R22" s="266" t="n">
        <f aca="false">+R18+R21</f>
        <v>29662.5903265076</v>
      </c>
      <c r="S22" s="266" t="n">
        <f aca="false">+S18+S21</f>
        <v>38909.3922313279</v>
      </c>
      <c r="T22" s="266" t="n">
        <f aca="false">+T18+T21</f>
        <v>49943.6372967597</v>
      </c>
      <c r="U22" s="266" t="n">
        <f aca="false">+U18+U21</f>
        <v>63027.2567687519</v>
      </c>
      <c r="V22" s="266" t="n">
        <f aca="false">+V18+V21</f>
        <v>78461.019442613</v>
      </c>
      <c r="W22" s="266" t="n">
        <f aca="false">+W18+W21</f>
        <v>96590.3357338676</v>
      </c>
      <c r="Z22" s="127"/>
      <c r="AA22" s="341"/>
    </row>
    <row r="23" customFormat="false" ht="12.75" hidden="false" customHeight="false" outlineLevel="0" collapsed="false">
      <c r="Z23" s="127"/>
      <c r="AA23" s="271"/>
    </row>
    <row r="24" customFormat="false" ht="12.75" hidden="false" customHeight="false" outlineLevel="0" collapsed="false">
      <c r="Z24" s="127"/>
      <c r="AA24" s="271"/>
    </row>
    <row r="25" customFormat="false" ht="12.75" hidden="false" customHeight="false" outlineLevel="0" collapsed="false">
      <c r="Z25" s="127"/>
      <c r="AA25" s="127"/>
    </row>
    <row r="26" customFormat="false" ht="12.75" hidden="false" customHeight="false" outlineLevel="0" collapsed="false">
      <c r="A26" s="321" t="s">
        <v>278</v>
      </c>
      <c r="D26" s="324" t="s">
        <v>279</v>
      </c>
      <c r="E26" s="266" t="n">
        <f aca="false">-Assumptions!C11</f>
        <v>-0</v>
      </c>
      <c r="Z26" s="127"/>
      <c r="AA26" s="127"/>
    </row>
    <row r="27" customFormat="false" ht="12.75" hidden="false" customHeight="false" outlineLevel="0" collapsed="false">
      <c r="D27" s="324" t="s">
        <v>273</v>
      </c>
      <c r="E27" s="0" t="n">
        <v>0</v>
      </c>
      <c r="F27" s="266" t="n">
        <f aca="false">+F20</f>
        <v>-2005.80725868454</v>
      </c>
      <c r="G27" s="266" t="n">
        <f aca="false">+G20</f>
        <v>-2059.22410013204</v>
      </c>
      <c r="H27" s="266" t="n">
        <f aca="false">+H20</f>
        <v>-7502.23600009315</v>
      </c>
      <c r="I27" s="266" t="n">
        <f aca="false">+I20</f>
        <v>-439.376340225759</v>
      </c>
      <c r="J27" s="266" t="n">
        <f aca="false">+J20</f>
        <v>319.04554058786</v>
      </c>
      <c r="K27" s="266" t="n">
        <f aca="false">+K20</f>
        <v>738.111946535877</v>
      </c>
      <c r="L27" s="266" t="n">
        <f aca="false">+L20</f>
        <v>1153.62805655172</v>
      </c>
      <c r="M27" s="266" t="n">
        <f aca="false">+M20</f>
        <v>1565.28304985707</v>
      </c>
      <c r="N27" s="266" t="n">
        <f aca="false">+N20</f>
        <v>2220.81412940288</v>
      </c>
      <c r="O27" s="266" t="n">
        <f aca="false">+O20</f>
        <v>2631.19386786202</v>
      </c>
      <c r="P27" s="266" t="n">
        <f aca="false">+P20</f>
        <v>3300.07848908372</v>
      </c>
      <c r="Q27" s="266" t="n">
        <f aca="false">+Q20</f>
        <v>3708.65209770275</v>
      </c>
      <c r="R27" s="266" t="n">
        <f aca="false">+R20</f>
        <v>4391.23668295541</v>
      </c>
      <c r="S27" s="266" t="n">
        <f aca="false">+S20</f>
        <v>4797.41335584408</v>
      </c>
      <c r="T27" s="266" t="n">
        <f aca="false">+T20</f>
        <v>5197.8362307326</v>
      </c>
      <c r="U27" s="266" t="n">
        <f aca="false">+U20</f>
        <v>5592.07387747832</v>
      </c>
      <c r="V27" s="266" t="n">
        <f aca="false">+V20</f>
        <v>5979.67415854823</v>
      </c>
      <c r="W27" s="266" t="n">
        <f aca="false">+W20</f>
        <v>6360.1633748627</v>
      </c>
      <c r="Z27" s="127"/>
      <c r="AA27" s="127"/>
    </row>
    <row r="28" customFormat="false" ht="12.75" hidden="false" customHeight="false" outlineLevel="0" collapsed="false">
      <c r="D28" s="324" t="s">
        <v>280</v>
      </c>
      <c r="E28" s="266" t="n">
        <f aca="false">+SUM(E26:E27)</f>
        <v>0</v>
      </c>
      <c r="F28" s="271" t="n">
        <f aca="false">+SUM(F27)</f>
        <v>-2005.80725868454</v>
      </c>
      <c r="G28" s="271" t="n">
        <f aca="false">+SUM(G27)</f>
        <v>-2059.22410013204</v>
      </c>
      <c r="H28" s="271" t="n">
        <f aca="false">+SUM(H27)</f>
        <v>-7502.23600009315</v>
      </c>
      <c r="I28" s="271" t="n">
        <f aca="false">+SUM(I27)</f>
        <v>-439.376340225759</v>
      </c>
      <c r="J28" s="271" t="n">
        <f aca="false">+SUM(J27)</f>
        <v>319.04554058786</v>
      </c>
      <c r="K28" s="271" t="n">
        <f aca="false">+SUM(K27)</f>
        <v>738.111946535877</v>
      </c>
      <c r="L28" s="271" t="n">
        <f aca="false">+SUM(L27)</f>
        <v>1153.62805655172</v>
      </c>
      <c r="M28" s="271" t="n">
        <f aca="false">+SUM(M27)</f>
        <v>1565.28304985707</v>
      </c>
      <c r="N28" s="271" t="n">
        <f aca="false">+SUM(N27)</f>
        <v>2220.81412940288</v>
      </c>
      <c r="O28" s="271" t="n">
        <f aca="false">+SUM(O27)</f>
        <v>2631.19386786202</v>
      </c>
      <c r="P28" s="271" t="n">
        <f aca="false">+SUM(P27)</f>
        <v>3300.07848908372</v>
      </c>
      <c r="Q28" s="271" t="n">
        <f aca="false">+SUM(Q27)</f>
        <v>3708.65209770275</v>
      </c>
      <c r="R28" s="271" t="n">
        <f aca="false">+SUM(R27)</f>
        <v>4391.23668295541</v>
      </c>
      <c r="S28" s="271" t="n">
        <f aca="false">+SUM(S27)</f>
        <v>4797.41335584408</v>
      </c>
      <c r="T28" s="271" t="n">
        <f aca="false">+SUM(T27)</f>
        <v>5197.8362307326</v>
      </c>
      <c r="U28" s="271" t="n">
        <f aca="false">+SUM(U27)</f>
        <v>5592.07387747832</v>
      </c>
      <c r="V28" s="271" t="n">
        <f aca="false">+SUM(V27)</f>
        <v>5979.67415854823</v>
      </c>
      <c r="W28" s="271" t="n">
        <f aca="false">+SUM(W27)</f>
        <v>6360.1633748627</v>
      </c>
      <c r="X28" s="271" t="n">
        <f aca="false">+AA17*Assumptions!I22</f>
        <v>33256.7551147381</v>
      </c>
      <c r="Z28" s="127"/>
      <c r="AA28" s="127"/>
    </row>
    <row r="30" customFormat="false" ht="12.75" hidden="false" customHeight="false" outlineLevel="0" collapsed="false">
      <c r="D30" s="324" t="s">
        <v>17</v>
      </c>
      <c r="E30" s="342" t="n">
        <f aca="false">+XIRR(E28:X28,E15:X15)</f>
        <v>0.172144700340514</v>
      </c>
    </row>
    <row r="32" customFormat="false" ht="12.75" hidden="false" customHeight="false" outlineLevel="0" collapsed="false">
      <c r="A32" s="321" t="s">
        <v>281</v>
      </c>
      <c r="D32" s="324" t="s">
        <v>279</v>
      </c>
      <c r="E32" s="266" t="n">
        <f aca="false">+E26</f>
        <v>-0</v>
      </c>
    </row>
    <row r="33" customFormat="false" ht="12.75" hidden="false" customHeight="false" outlineLevel="0" collapsed="false">
      <c r="D33" s="324" t="s">
        <v>273</v>
      </c>
      <c r="E33" s="0" t="n">
        <v>0</v>
      </c>
      <c r="F33" s="266" t="n">
        <f aca="false">+F28</f>
        <v>-2005.80725868454</v>
      </c>
      <c r="G33" s="266" t="n">
        <f aca="false">+G28</f>
        <v>-2059.22410013204</v>
      </c>
      <c r="H33" s="266" t="n">
        <f aca="false">+H28</f>
        <v>-7502.23600009315</v>
      </c>
      <c r="I33" s="266" t="n">
        <f aca="false">+I28</f>
        <v>-439.376340225759</v>
      </c>
      <c r="J33" s="266" t="n">
        <f aca="false">+J28</f>
        <v>319.04554058786</v>
      </c>
      <c r="K33" s="266" t="n">
        <f aca="false">+K28</f>
        <v>738.111946535877</v>
      </c>
      <c r="L33" s="266" t="n">
        <f aca="false">+L28</f>
        <v>1153.62805655172</v>
      </c>
      <c r="M33" s="266" t="n">
        <f aca="false">+M28</f>
        <v>1565.28304985707</v>
      </c>
      <c r="N33" s="266" t="n">
        <f aca="false">+N28</f>
        <v>2220.81412940288</v>
      </c>
      <c r="O33" s="266" t="n">
        <f aca="false">+O28</f>
        <v>2631.19386786202</v>
      </c>
      <c r="P33" s="266" t="n">
        <f aca="false">+P28</f>
        <v>3300.07848908372</v>
      </c>
      <c r="Q33" s="266" t="n">
        <f aca="false">+Q28</f>
        <v>3708.65209770275</v>
      </c>
      <c r="R33" s="266" t="n">
        <f aca="false">+R28</f>
        <v>4391.23668295541</v>
      </c>
      <c r="S33" s="266" t="n">
        <f aca="false">+S28</f>
        <v>4797.41335584408</v>
      </c>
      <c r="T33" s="266" t="n">
        <f aca="false">+T28</f>
        <v>5197.8362307326</v>
      </c>
      <c r="U33" s="266" t="n">
        <f aca="false">+U28</f>
        <v>5592.07387747832</v>
      </c>
      <c r="V33" s="266" t="n">
        <f aca="false">+V28</f>
        <v>5979.67415854823</v>
      </c>
      <c r="W33" s="266" t="n">
        <f aca="false">+W28</f>
        <v>6360.1633748627</v>
      </c>
    </row>
    <row r="34" customFormat="false" ht="12.75" hidden="false" customHeight="false" outlineLevel="0" collapsed="false">
      <c r="D34" s="324" t="s">
        <v>280</v>
      </c>
      <c r="E34" s="266" t="n">
        <f aca="false">+SUM(E32:E33)</f>
        <v>0</v>
      </c>
      <c r="F34" s="271" t="n">
        <f aca="false">+SUM(F33)</f>
        <v>-2005.80725868454</v>
      </c>
      <c r="G34" s="271" t="n">
        <f aca="false">+SUM(G33)</f>
        <v>-2059.22410013204</v>
      </c>
      <c r="H34" s="271" t="n">
        <f aca="false">+SUM(H33)</f>
        <v>-7502.23600009315</v>
      </c>
      <c r="I34" s="271" t="n">
        <f aca="false">+SUM(I33)</f>
        <v>-439.376340225759</v>
      </c>
      <c r="J34" s="271" t="n">
        <f aca="false">+SUM(J33)</f>
        <v>319.04554058786</v>
      </c>
      <c r="K34" s="271" t="n">
        <f aca="false">+SUM(K33)</f>
        <v>738.111946535877</v>
      </c>
      <c r="L34" s="271" t="n">
        <f aca="false">+SUM(L33)</f>
        <v>1153.62805655172</v>
      </c>
      <c r="M34" s="271" t="n">
        <f aca="false">+SUM(M33)</f>
        <v>1565.28304985707</v>
      </c>
      <c r="N34" s="271" t="n">
        <f aca="false">+SUM(N33)</f>
        <v>2220.81412940288</v>
      </c>
      <c r="O34" s="271" t="n">
        <f aca="false">+SUM(O33)</f>
        <v>2631.19386786202</v>
      </c>
      <c r="P34" s="271" t="n">
        <f aca="false">+SUM(P33)</f>
        <v>3300.07848908372</v>
      </c>
      <c r="Q34" s="271" t="n">
        <f aca="false">+SUM(Q33)</f>
        <v>3708.65209770275</v>
      </c>
      <c r="R34" s="271" t="n">
        <f aca="false">+SUM(R33)</f>
        <v>4391.23668295541</v>
      </c>
      <c r="S34" s="271" t="n">
        <f aca="false">+SUM(S33)</f>
        <v>4797.41335584408</v>
      </c>
      <c r="T34" s="271" t="n">
        <f aca="false">+SUM(T33)</f>
        <v>5197.8362307326</v>
      </c>
      <c r="U34" s="271" t="n">
        <f aca="false">+SUM(U33)</f>
        <v>5592.07387747832</v>
      </c>
      <c r="V34" s="271" t="n">
        <f aca="false">+SUM(V33)</f>
        <v>5979.67415854823</v>
      </c>
      <c r="W34" s="271" t="n">
        <f aca="false">+SUM(W33)</f>
        <v>6360.1633748627</v>
      </c>
      <c r="X34" s="271" t="n">
        <f aca="false">+X5*Assumptions!I23</f>
        <v>66312.2748327666</v>
      </c>
    </row>
    <row r="36" customFormat="false" ht="12.75" hidden="false" customHeight="false" outlineLevel="0" collapsed="false">
      <c r="D36" s="324" t="s">
        <v>17</v>
      </c>
      <c r="E36" s="342" t="n">
        <f aca="false">+XIRR(E34:X34,E15:X15)</f>
        <v>0.193427909265313</v>
      </c>
    </row>
    <row r="38" customFormat="false" ht="12.75" hidden="false" customHeight="false" outlineLevel="0" collapsed="false">
      <c r="A38" s="321" t="s">
        <v>282</v>
      </c>
      <c r="D38" s="324" t="s">
        <v>279</v>
      </c>
      <c r="E38" s="266" t="n">
        <f aca="false">+E26</f>
        <v>-0</v>
      </c>
    </row>
    <row r="39" customFormat="false" ht="12.75" hidden="false" customHeight="false" outlineLevel="0" collapsed="false">
      <c r="D39" s="324" t="s">
        <v>273</v>
      </c>
      <c r="E39" s="0" t="n">
        <v>0</v>
      </c>
      <c r="F39" s="266" t="n">
        <f aca="false">+F27</f>
        <v>-2005.80725868454</v>
      </c>
      <c r="G39" s="266" t="n">
        <f aca="false">+G27</f>
        <v>-2059.22410013204</v>
      </c>
      <c r="H39" s="266" t="n">
        <f aca="false">+H27</f>
        <v>-7502.23600009315</v>
      </c>
      <c r="I39" s="266" t="n">
        <f aca="false">+I27</f>
        <v>-439.376340225759</v>
      </c>
      <c r="J39" s="266" t="n">
        <f aca="false">+J27</f>
        <v>319.04554058786</v>
      </c>
      <c r="K39" s="266" t="n">
        <f aca="false">+K27</f>
        <v>738.111946535877</v>
      </c>
      <c r="L39" s="266" t="n">
        <f aca="false">+L27</f>
        <v>1153.62805655172</v>
      </c>
      <c r="M39" s="266" t="n">
        <f aca="false">+M27</f>
        <v>1565.28304985707</v>
      </c>
      <c r="N39" s="266" t="n">
        <f aca="false">+N27</f>
        <v>2220.81412940288</v>
      </c>
      <c r="O39" s="266" t="n">
        <f aca="false">+O27</f>
        <v>2631.19386786202</v>
      </c>
      <c r="P39" s="266" t="n">
        <f aca="false">+P27</f>
        <v>3300.07848908372</v>
      </c>
      <c r="Q39" s="266" t="n">
        <f aca="false">+Q27</f>
        <v>3708.65209770275</v>
      </c>
      <c r="R39" s="266" t="n">
        <f aca="false">+R27</f>
        <v>4391.23668295541</v>
      </c>
      <c r="S39" s="266" t="n">
        <f aca="false">+S27</f>
        <v>4797.41335584408</v>
      </c>
      <c r="T39" s="266" t="n">
        <f aca="false">+T27</f>
        <v>5197.8362307326</v>
      </c>
      <c r="U39" s="266" t="n">
        <f aca="false">+U27</f>
        <v>5592.07387747832</v>
      </c>
      <c r="V39" s="266" t="n">
        <f aca="false">+V27</f>
        <v>5979.67415854823</v>
      </c>
      <c r="W39" s="266" t="n">
        <f aca="false">+W27</f>
        <v>6360.1633748627</v>
      </c>
    </row>
    <row r="40" customFormat="false" ht="12.75" hidden="false" customHeight="false" outlineLevel="0" collapsed="false">
      <c r="D40" s="324" t="s">
        <v>280</v>
      </c>
      <c r="E40" s="266" t="n">
        <f aca="false">+SUM(E38:E39)</f>
        <v>0</v>
      </c>
      <c r="F40" s="271" t="n">
        <f aca="false">+SUM(F39)</f>
        <v>-2005.80725868454</v>
      </c>
      <c r="G40" s="271" t="n">
        <f aca="false">+SUM(G39)</f>
        <v>-2059.22410013204</v>
      </c>
      <c r="H40" s="271" t="n">
        <f aca="false">+SUM(H39)</f>
        <v>-7502.23600009315</v>
      </c>
      <c r="I40" s="271" t="n">
        <f aca="false">+SUM(I39)</f>
        <v>-439.376340225759</v>
      </c>
      <c r="J40" s="271" t="n">
        <f aca="false">+SUM(J39)</f>
        <v>319.04554058786</v>
      </c>
      <c r="K40" s="271" t="n">
        <f aca="false">+SUM(K39)</f>
        <v>738.111946535877</v>
      </c>
      <c r="L40" s="271" t="n">
        <f aca="false">+SUM(L39)</f>
        <v>1153.62805655172</v>
      </c>
      <c r="M40" s="271" t="n">
        <f aca="false">+SUM(M39)</f>
        <v>1565.28304985707</v>
      </c>
      <c r="N40" s="271" t="n">
        <f aca="false">+SUM(N39)</f>
        <v>2220.81412940288</v>
      </c>
      <c r="O40" s="271" t="n">
        <f aca="false">+SUM(O39)</f>
        <v>2631.19386786202</v>
      </c>
      <c r="P40" s="271" t="n">
        <f aca="false">+SUM(P39)</f>
        <v>3300.07848908372</v>
      </c>
      <c r="Q40" s="271" t="n">
        <f aca="false">+SUM(Q39)</f>
        <v>3708.65209770275</v>
      </c>
      <c r="R40" s="271" t="n">
        <f aca="false">+SUM(R39)</f>
        <v>4391.23668295541</v>
      </c>
      <c r="S40" s="271" t="n">
        <f aca="false">+SUM(S39)</f>
        <v>4797.41335584408</v>
      </c>
      <c r="T40" s="271" t="n">
        <f aca="false">+SUM(T39)</f>
        <v>5197.8362307326</v>
      </c>
      <c r="U40" s="271" t="n">
        <f aca="false">+SUM(U39)</f>
        <v>5592.07387747832</v>
      </c>
      <c r="V40" s="271" t="n">
        <f aca="false">+SUM(V39)</f>
        <v>5979.67415854823</v>
      </c>
      <c r="W40" s="271" t="n">
        <f aca="false">+SUM(W39)</f>
        <v>6360.1633748627</v>
      </c>
      <c r="X40" s="271" t="n">
        <v>0</v>
      </c>
    </row>
    <row r="42" customFormat="false" ht="12.75" hidden="false" customHeight="false" outlineLevel="0" collapsed="false">
      <c r="D42" s="324" t="s">
        <v>17</v>
      </c>
      <c r="E42" s="342" t="n">
        <f aca="false">+XIRR(E40:X40,E15:X15)</f>
        <v>0.140079950227618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27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8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6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11.28"/>
    <col collapsed="false" customWidth="true" hidden="false" outlineLevel="0" max="23" min="3" style="0" width="12.56"/>
    <col collapsed="false" customWidth="true" hidden="false" outlineLevel="0" max="24" min="24" style="0" width="13.28"/>
    <col collapsed="false" customWidth="true" hidden="false" outlineLevel="0" max="26" min="25" style="258" width="13.28"/>
    <col collapsed="false" customWidth="true" hidden="false" outlineLevel="0" max="33" min="27" style="0" width="13.28"/>
  </cols>
  <sheetData>
    <row r="2" customFormat="false" ht="18.75" hidden="false" customHeight="false" outlineLevel="0" collapsed="false">
      <c r="A2" s="6" t="str">
        <f aca="false">Assumptions!A3</f>
        <v>PROJECT NAME: LINCOLN</v>
      </c>
    </row>
    <row r="4" customFormat="false" ht="18.75" hidden="false" customHeight="false" outlineLevel="0" collapsed="false">
      <c r="A4" s="259" t="s">
        <v>283</v>
      </c>
      <c r="B4" s="260"/>
    </row>
    <row r="6" customFormat="false" ht="12.75" hidden="false" customHeight="false" outlineLevel="0" collapsed="false">
      <c r="C6" s="238" t="n">
        <f aca="false">'Power Price Assumption'!D9</f>
        <v>0.666666666666667</v>
      </c>
      <c r="D6" s="238" t="n">
        <f aca="false">'Power Price Assumption'!E9</f>
        <v>1.66666666666667</v>
      </c>
      <c r="E6" s="238" t="n">
        <f aca="false">'Power Price Assumption'!F9</f>
        <v>2.66666666666667</v>
      </c>
      <c r="F6" s="238" t="n">
        <f aca="false">'Power Price Assumption'!G9</f>
        <v>3.66666666666667</v>
      </c>
      <c r="G6" s="238" t="n">
        <f aca="false">'Power Price Assumption'!H9</f>
        <v>4.66666666666667</v>
      </c>
      <c r="H6" s="238" t="n">
        <f aca="false">'Power Price Assumption'!I9</f>
        <v>5.66666666666667</v>
      </c>
      <c r="I6" s="238" t="n">
        <f aca="false">'Power Price Assumption'!J9</f>
        <v>6.66666666666667</v>
      </c>
      <c r="J6" s="238" t="n">
        <f aca="false">'Power Price Assumption'!K9</f>
        <v>7.66666666666667</v>
      </c>
      <c r="K6" s="238" t="n">
        <f aca="false">'Power Price Assumption'!L9</f>
        <v>8.66666666666667</v>
      </c>
      <c r="L6" s="238" t="n">
        <f aca="false">'Power Price Assumption'!M9</f>
        <v>9.66666666666667</v>
      </c>
      <c r="M6" s="238" t="n">
        <f aca="false">'Power Price Assumption'!N9</f>
        <v>10.6666666666667</v>
      </c>
      <c r="N6" s="238" t="n">
        <f aca="false">'Power Price Assumption'!O9</f>
        <v>11.6666666666667</v>
      </c>
      <c r="O6" s="238" t="n">
        <f aca="false">'Power Price Assumption'!P9</f>
        <v>12.6666666666667</v>
      </c>
      <c r="P6" s="238" t="n">
        <f aca="false">'Power Price Assumption'!Q9</f>
        <v>13.6666666666667</v>
      </c>
      <c r="Q6" s="238" t="n">
        <f aca="false">'Power Price Assumption'!R9</f>
        <v>14.6666666666667</v>
      </c>
      <c r="R6" s="238" t="n">
        <f aca="false">'Power Price Assumption'!S9</f>
        <v>15.6666666666667</v>
      </c>
      <c r="S6" s="238" t="n">
        <f aca="false">'Power Price Assumption'!T9</f>
        <v>16.6666666666667</v>
      </c>
      <c r="T6" s="238" t="n">
        <f aca="false">'Power Price Assumption'!U9</f>
        <v>17.6666666666667</v>
      </c>
      <c r="U6" s="238" t="n">
        <f aca="false">'Power Price Assumption'!V9</f>
        <v>18.6666666666667</v>
      </c>
      <c r="V6" s="238" t="n">
        <f aca="false">'Power Price Assumption'!W9</f>
        <v>19.6666666666667</v>
      </c>
      <c r="W6" s="238" t="n">
        <f aca="false">'Power Price Assumption'!X9</f>
        <v>20.6666666666667</v>
      </c>
      <c r="X6" s="238" t="n">
        <f aca="false">'Power Price Assumption'!Y9</f>
        <v>21.6666666666667</v>
      </c>
      <c r="Y6" s="238" t="n">
        <f aca="false">'Power Price Assumption'!Z9</f>
        <v>22.6666666666667</v>
      </c>
      <c r="Z6" s="238" t="n">
        <f aca="false">'Power Price Assumption'!AA9</f>
        <v>23.6666666666667</v>
      </c>
      <c r="AA6" s="238" t="n">
        <f aca="false">'Power Price Assumption'!AB9</f>
        <v>24.6666666666667</v>
      </c>
      <c r="AB6" s="238" t="n">
        <f aca="false">'Power Price Assumption'!AC9</f>
        <v>25.6666666666667</v>
      </c>
      <c r="AC6" s="238" t="n">
        <f aca="false">'Power Price Assumption'!AD9</f>
        <v>26.6666666666667</v>
      </c>
      <c r="AD6" s="238" t="n">
        <f aca="false">'Power Price Assumption'!AE9</f>
        <v>27.6666666666667</v>
      </c>
      <c r="AE6" s="238" t="n">
        <f aca="false">'Power Price Assumption'!AF9</f>
        <v>28.6666666666667</v>
      </c>
      <c r="AF6" s="238" t="n">
        <f aca="false">'Power Price Assumption'!AG9</f>
        <v>29.6666666666667</v>
      </c>
      <c r="AG6" s="238" t="n">
        <f aca="false">'Power Price Assumption'!AH9</f>
        <v>30.6666666666667</v>
      </c>
    </row>
    <row r="7" customFormat="false" ht="13.5" hidden="false" customHeight="false" outlineLevel="0" collapsed="false">
      <c r="A7" s="261" t="s">
        <v>206</v>
      </c>
      <c r="B7" s="262"/>
      <c r="C7" s="262" t="n">
        <f aca="false">'Power Price Assumption'!D10</f>
        <v>2002</v>
      </c>
      <c r="D7" s="262" t="n">
        <f aca="false">'Power Price Assumption'!E10</f>
        <v>2003</v>
      </c>
      <c r="E7" s="262" t="n">
        <f aca="false">'Power Price Assumption'!F10</f>
        <v>2004</v>
      </c>
      <c r="F7" s="262" t="n">
        <f aca="false">'Power Price Assumption'!G10</f>
        <v>2005</v>
      </c>
      <c r="G7" s="262" t="n">
        <f aca="false">'Power Price Assumption'!H10</f>
        <v>2006</v>
      </c>
      <c r="H7" s="262" t="n">
        <f aca="false">'Power Price Assumption'!I10</f>
        <v>2007</v>
      </c>
      <c r="I7" s="262" t="n">
        <f aca="false">'Power Price Assumption'!J10</f>
        <v>2008</v>
      </c>
      <c r="J7" s="262" t="n">
        <f aca="false">'Power Price Assumption'!K10</f>
        <v>2009</v>
      </c>
      <c r="K7" s="262" t="n">
        <f aca="false">'Power Price Assumption'!L10</f>
        <v>2010</v>
      </c>
      <c r="L7" s="262" t="n">
        <f aca="false">'Power Price Assumption'!M10</f>
        <v>2011</v>
      </c>
      <c r="M7" s="262" t="n">
        <f aca="false">'Power Price Assumption'!N10</f>
        <v>2012</v>
      </c>
      <c r="N7" s="262" t="n">
        <f aca="false">'Power Price Assumption'!O10</f>
        <v>2013</v>
      </c>
      <c r="O7" s="262" t="n">
        <f aca="false">'Power Price Assumption'!P10</f>
        <v>2014</v>
      </c>
      <c r="P7" s="262" t="n">
        <f aca="false">'Power Price Assumption'!Q10</f>
        <v>2015</v>
      </c>
      <c r="Q7" s="262" t="n">
        <f aca="false">'Power Price Assumption'!R10</f>
        <v>2016</v>
      </c>
      <c r="R7" s="262" t="n">
        <f aca="false">'Power Price Assumption'!S10</f>
        <v>2017</v>
      </c>
      <c r="S7" s="262" t="n">
        <f aca="false">'Power Price Assumption'!T10</f>
        <v>2018</v>
      </c>
      <c r="T7" s="262" t="n">
        <f aca="false">'Power Price Assumption'!U10</f>
        <v>2019</v>
      </c>
      <c r="U7" s="262" t="n">
        <f aca="false">'Power Price Assumption'!V10</f>
        <v>2020</v>
      </c>
      <c r="V7" s="262" t="n">
        <f aca="false">'Power Price Assumption'!W10</f>
        <v>2021</v>
      </c>
      <c r="W7" s="262" t="n">
        <f aca="false">'Power Price Assumption'!X10</f>
        <v>2022</v>
      </c>
      <c r="X7" s="262" t="n">
        <f aca="false">'Power Price Assumption'!Y10</f>
        <v>2023</v>
      </c>
      <c r="Y7" s="262" t="n">
        <f aca="false">'Power Price Assumption'!Z10</f>
        <v>2024</v>
      </c>
      <c r="Z7" s="262" t="n">
        <f aca="false">'Power Price Assumption'!AA10</f>
        <v>2025</v>
      </c>
      <c r="AA7" s="262" t="n">
        <f aca="false">'Power Price Assumption'!AB10</f>
        <v>2026</v>
      </c>
      <c r="AB7" s="262" t="n">
        <f aca="false">'Power Price Assumption'!AC10</f>
        <v>2027</v>
      </c>
      <c r="AC7" s="262" t="n">
        <f aca="false">'Power Price Assumption'!AD10</f>
        <v>2028</v>
      </c>
      <c r="AD7" s="262" t="n">
        <f aca="false">'Power Price Assumption'!AE10</f>
        <v>2029</v>
      </c>
      <c r="AE7" s="262" t="n">
        <f aca="false">'Power Price Assumption'!AF10</f>
        <v>2030</v>
      </c>
      <c r="AF7" s="262" t="n">
        <f aca="false">'Power Price Assumption'!AG10</f>
        <v>2031</v>
      </c>
      <c r="AG7" s="262" t="n">
        <f aca="false">'Power Price Assumption'!AH10</f>
        <v>2032</v>
      </c>
    </row>
    <row r="8" customFormat="false" ht="12.75" hidden="false" customHeight="false" outlineLevel="0" collapsed="false">
      <c r="A8" s="263"/>
      <c r="C8" s="264" t="n">
        <f aca="false">Assumptions!I18+365.25*Assumptions!I19/12</f>
        <v>37620.5</v>
      </c>
      <c r="D8" s="264" t="n">
        <f aca="false">C8+365.25</f>
        <v>37985.75</v>
      </c>
      <c r="E8" s="264" t="n">
        <f aca="false">D8+365.25</f>
        <v>38351</v>
      </c>
      <c r="F8" s="264" t="n">
        <f aca="false">E8+365.25</f>
        <v>38716.25</v>
      </c>
      <c r="G8" s="264" t="n">
        <f aca="false">F8+365.25</f>
        <v>39081.5</v>
      </c>
      <c r="H8" s="264" t="n">
        <f aca="false">G8+365.25</f>
        <v>39446.75</v>
      </c>
      <c r="I8" s="264" t="n">
        <f aca="false">H8+365.25</f>
        <v>39812</v>
      </c>
      <c r="J8" s="264" t="n">
        <f aca="false">I8+365.25</f>
        <v>40177.25</v>
      </c>
      <c r="K8" s="264" t="n">
        <f aca="false">J8+365.25</f>
        <v>40542.5</v>
      </c>
      <c r="L8" s="264" t="n">
        <f aca="false">K8+365.25</f>
        <v>40907.75</v>
      </c>
      <c r="M8" s="264" t="n">
        <f aca="false">L8+365.25</f>
        <v>41273</v>
      </c>
      <c r="N8" s="264" t="n">
        <f aca="false">M8+365.25</f>
        <v>41638.25</v>
      </c>
      <c r="O8" s="264" t="n">
        <f aca="false">N8+365.25</f>
        <v>42003.5</v>
      </c>
      <c r="P8" s="264" t="n">
        <f aca="false">O8+365.25</f>
        <v>42368.75</v>
      </c>
      <c r="Q8" s="264" t="n">
        <f aca="false">P8+365.25</f>
        <v>42734</v>
      </c>
      <c r="R8" s="264" t="n">
        <f aca="false">Q8+365.25</f>
        <v>43099.25</v>
      </c>
      <c r="S8" s="264" t="n">
        <f aca="false">R8+365.25</f>
        <v>43464.5</v>
      </c>
      <c r="T8" s="264" t="n">
        <f aca="false">S8+365.25</f>
        <v>43829.75</v>
      </c>
      <c r="U8" s="264" t="n">
        <f aca="false">T8+365.25</f>
        <v>44195</v>
      </c>
      <c r="V8" s="264" t="n">
        <f aca="false">U8+365.25</f>
        <v>44560.25</v>
      </c>
      <c r="W8" s="264" t="n">
        <f aca="false">V8+365.25</f>
        <v>44925.5</v>
      </c>
      <c r="X8" s="264" t="n">
        <f aca="false">W8+365.25</f>
        <v>45290.75</v>
      </c>
      <c r="Y8" s="264" t="n">
        <f aca="false">X8+365.25</f>
        <v>45656</v>
      </c>
      <c r="Z8" s="264" t="n">
        <f aca="false">Y8+365.25</f>
        <v>46021.25</v>
      </c>
      <c r="AA8" s="264" t="n">
        <f aca="false">Z8+365.25</f>
        <v>46386.5</v>
      </c>
      <c r="AB8" s="264" t="n">
        <f aca="false">AA8+365.25</f>
        <v>46751.75</v>
      </c>
      <c r="AC8" s="264" t="n">
        <f aca="false">AB8+365.25</f>
        <v>47117</v>
      </c>
      <c r="AD8" s="264" t="n">
        <f aca="false">AC8+365.25</f>
        <v>47482.25</v>
      </c>
      <c r="AE8" s="264" t="n">
        <f aca="false">AD8+365.25</f>
        <v>47847.5</v>
      </c>
      <c r="AF8" s="264" t="n">
        <f aca="false">AE8+365.25</f>
        <v>48212.75</v>
      </c>
      <c r="AG8" s="264" t="n">
        <f aca="false">AF8+365.25</f>
        <v>48578</v>
      </c>
    </row>
    <row r="9" customFormat="false" ht="12.75" hidden="false" customHeight="false" outlineLevel="0" collapsed="false">
      <c r="A9" s="265" t="s">
        <v>284</v>
      </c>
      <c r="B9" s="1"/>
      <c r="C9" s="299"/>
      <c r="D9" s="299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  <c r="U9" s="266"/>
      <c r="V9" s="266"/>
      <c r="W9" s="266"/>
      <c r="X9" s="266"/>
      <c r="Y9" s="266"/>
      <c r="Z9" s="266"/>
      <c r="AA9" s="266"/>
      <c r="AB9" s="266"/>
      <c r="AC9" s="266"/>
      <c r="AD9" s="266"/>
      <c r="AE9" s="266"/>
      <c r="AF9" s="266"/>
      <c r="AG9" s="266"/>
    </row>
    <row r="10" customFormat="false" ht="12.75" hidden="false" customHeight="false" outlineLevel="0" collapsed="false">
      <c r="A10" s="265"/>
      <c r="B10" s="1"/>
      <c r="C10" s="299"/>
      <c r="D10" s="299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66"/>
      <c r="Z10" s="266"/>
      <c r="AA10" s="266"/>
      <c r="AB10" s="266"/>
      <c r="AC10" s="266"/>
      <c r="AD10" s="266"/>
      <c r="AE10" s="266"/>
      <c r="AF10" s="266"/>
      <c r="AG10" s="266"/>
    </row>
    <row r="11" customFormat="false" ht="12.75" hidden="false" customHeight="false" outlineLevel="0" collapsed="false">
      <c r="A11" s="182" t="s">
        <v>285</v>
      </c>
      <c r="B11" s="1"/>
      <c r="C11" s="343"/>
      <c r="D11" s="343"/>
      <c r="E11" s="290"/>
      <c r="F11" s="290"/>
      <c r="G11" s="258"/>
    </row>
    <row r="12" customFormat="false" ht="12.75" hidden="false" customHeight="false" outlineLevel="0" collapsed="false">
      <c r="A12" s="182" t="s">
        <v>286</v>
      </c>
      <c r="B12" s="1"/>
      <c r="C12" s="270"/>
      <c r="D12" s="270"/>
      <c r="E12" s="258"/>
      <c r="F12" s="258"/>
      <c r="G12" s="258"/>
    </row>
    <row r="13" customFormat="false" ht="12.75" hidden="false" customHeight="false" outlineLevel="0" collapsed="false">
      <c r="A13" s="182" t="s">
        <v>287</v>
      </c>
      <c r="B13" s="1"/>
      <c r="C13" s="343"/>
      <c r="D13" s="270"/>
      <c r="E13" s="258"/>
      <c r="F13" s="258"/>
      <c r="G13" s="258"/>
    </row>
    <row r="14" customFormat="false" ht="12.75" hidden="false" customHeight="false" outlineLevel="0" collapsed="false">
      <c r="A14" s="182" t="s">
        <v>288</v>
      </c>
      <c r="B14" s="1"/>
      <c r="C14" s="270"/>
      <c r="D14" s="270"/>
      <c r="E14" s="258"/>
      <c r="F14" s="258"/>
      <c r="G14" s="258"/>
    </row>
    <row r="15" customFormat="false" ht="12.75" hidden="false" customHeight="false" outlineLevel="0" collapsed="false">
      <c r="A15" s="182" t="s">
        <v>289</v>
      </c>
      <c r="B15" s="1"/>
      <c r="C15" s="270"/>
      <c r="D15" s="270"/>
      <c r="E15" s="258"/>
      <c r="F15" s="258"/>
      <c r="G15" s="258"/>
    </row>
    <row r="16" customFormat="false" ht="12.75" hidden="false" customHeight="false" outlineLevel="0" collapsed="false">
      <c r="A16" s="182" t="s">
        <v>290</v>
      </c>
      <c r="B16" s="1"/>
      <c r="C16" s="344"/>
      <c r="D16" s="344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6"/>
      <c r="Z16" s="346"/>
      <c r="AA16" s="345"/>
      <c r="AB16" s="345"/>
      <c r="AC16" s="345"/>
      <c r="AD16" s="345"/>
      <c r="AE16" s="345"/>
      <c r="AF16" s="345"/>
      <c r="AG16" s="345"/>
    </row>
    <row r="17" customFormat="false" ht="12.75" hidden="false" customHeight="false" outlineLevel="0" collapsed="false">
      <c r="A17" s="182" t="s">
        <v>291</v>
      </c>
      <c r="B17" s="1"/>
      <c r="C17" s="1"/>
      <c r="D17" s="1"/>
    </row>
    <row r="18" customFormat="false" ht="12.75" hidden="false" customHeight="false" outlineLevel="0" collapsed="false">
      <c r="A18" s="39"/>
      <c r="B18" s="1"/>
      <c r="C18" s="1"/>
      <c r="D18" s="1"/>
    </row>
    <row r="19" customFormat="false" ht="12.75" hidden="false" customHeight="false" outlineLevel="0" collapsed="false">
      <c r="A19" s="182" t="s">
        <v>292</v>
      </c>
      <c r="B19" s="1"/>
      <c r="C19" s="299" t="n">
        <f aca="false">Depreciation!$B$43</f>
        <v>120621</v>
      </c>
      <c r="D19" s="299" t="n">
        <f aca="false">Depreciation!$B$43</f>
        <v>120621</v>
      </c>
      <c r="E19" s="299" t="n">
        <f aca="false">Depreciation!$B$43</f>
        <v>120621</v>
      </c>
      <c r="F19" s="299" t="n">
        <f aca="false">Depreciation!$B$43</f>
        <v>120621</v>
      </c>
      <c r="G19" s="299" t="n">
        <f aca="false">Depreciation!$B$43</f>
        <v>120621</v>
      </c>
      <c r="H19" s="299" t="n">
        <f aca="false">Depreciation!$B$43</f>
        <v>120621</v>
      </c>
      <c r="I19" s="299" t="n">
        <f aca="false">Depreciation!$B$43</f>
        <v>120621</v>
      </c>
      <c r="J19" s="299" t="n">
        <f aca="false">Depreciation!$B$43</f>
        <v>120621</v>
      </c>
      <c r="K19" s="299" t="n">
        <f aca="false">Depreciation!$B$43</f>
        <v>120621</v>
      </c>
      <c r="L19" s="299" t="n">
        <f aca="false">Depreciation!$B$43</f>
        <v>120621</v>
      </c>
      <c r="M19" s="299" t="n">
        <f aca="false">Depreciation!$B$43</f>
        <v>120621</v>
      </c>
      <c r="N19" s="299" t="n">
        <f aca="false">Depreciation!$B$43</f>
        <v>120621</v>
      </c>
      <c r="O19" s="299" t="n">
        <f aca="false">Depreciation!$B$43</f>
        <v>120621</v>
      </c>
      <c r="P19" s="299" t="n">
        <f aca="false">Depreciation!$B$43</f>
        <v>120621</v>
      </c>
      <c r="Q19" s="299" t="n">
        <f aca="false">Depreciation!$B$43</f>
        <v>120621</v>
      </c>
      <c r="R19" s="299" t="n">
        <f aca="false">Depreciation!$B$43</f>
        <v>120621</v>
      </c>
      <c r="S19" s="299" t="n">
        <f aca="false">Depreciation!$B$43</f>
        <v>120621</v>
      </c>
      <c r="T19" s="299" t="n">
        <f aca="false">Depreciation!$B$43</f>
        <v>120621</v>
      </c>
      <c r="U19" s="299" t="n">
        <f aca="false">Depreciation!$B$43</f>
        <v>120621</v>
      </c>
      <c r="V19" s="299" t="n">
        <f aca="false">Depreciation!$B$43</f>
        <v>120621</v>
      </c>
      <c r="W19" s="299" t="n">
        <f aca="false">Depreciation!$B$43</f>
        <v>120621</v>
      </c>
      <c r="X19" s="299" t="n">
        <f aca="false">Depreciation!$B$43</f>
        <v>120621</v>
      </c>
      <c r="Y19" s="299" t="n">
        <f aca="false">Depreciation!$B$43</f>
        <v>120621</v>
      </c>
      <c r="Z19" s="299" t="n">
        <f aca="false">Depreciation!$B$43</f>
        <v>120621</v>
      </c>
      <c r="AA19" s="299" t="n">
        <f aca="false">Depreciation!$B$43</f>
        <v>120621</v>
      </c>
      <c r="AB19" s="299" t="n">
        <f aca="false">Depreciation!$B$43</f>
        <v>120621</v>
      </c>
      <c r="AC19" s="299" t="n">
        <f aca="false">Depreciation!$B$43</f>
        <v>120621</v>
      </c>
      <c r="AD19" s="299" t="n">
        <f aca="false">Depreciation!$B$43</f>
        <v>120621</v>
      </c>
      <c r="AE19" s="299" t="n">
        <f aca="false">Depreciation!$B$43</f>
        <v>120621</v>
      </c>
      <c r="AF19" s="299" t="n">
        <f aca="false">Depreciation!$B$43</f>
        <v>120621</v>
      </c>
      <c r="AG19" s="299" t="n">
        <f aca="false">Depreciation!$B$43</f>
        <v>120621</v>
      </c>
    </row>
    <row r="20" customFormat="false" ht="12.75" hidden="false" customHeight="false" outlineLevel="0" collapsed="false">
      <c r="A20" s="182" t="s">
        <v>293</v>
      </c>
      <c r="B20" s="39"/>
      <c r="C20" s="347" t="n">
        <f aca="false">Depreciation!D43</f>
        <v>2559.67333333333</v>
      </c>
      <c r="D20" s="347" t="n">
        <f aca="false">Depreciation!E43</f>
        <v>5483.165</v>
      </c>
      <c r="E20" s="347" t="n">
        <f aca="false">Depreciation!F43</f>
        <v>5483.165</v>
      </c>
      <c r="F20" s="347" t="n">
        <f aca="false">Depreciation!G43</f>
        <v>5483.165</v>
      </c>
      <c r="G20" s="347" t="n">
        <f aca="false">Depreciation!H43</f>
        <v>5483.165</v>
      </c>
      <c r="H20" s="347" t="n">
        <f aca="false">Depreciation!I43</f>
        <v>5483.165</v>
      </c>
      <c r="I20" s="347" t="n">
        <f aca="false">Depreciation!J43</f>
        <v>5483.165</v>
      </c>
      <c r="J20" s="347" t="n">
        <f aca="false">Depreciation!K43</f>
        <v>5483.165</v>
      </c>
      <c r="K20" s="347" t="n">
        <f aca="false">Depreciation!L43</f>
        <v>5483.165</v>
      </c>
      <c r="L20" s="347" t="n">
        <f aca="false">Depreciation!M43</f>
        <v>5483.165</v>
      </c>
      <c r="M20" s="347" t="n">
        <f aca="false">Depreciation!N43</f>
        <v>5483.165</v>
      </c>
      <c r="N20" s="347" t="n">
        <f aca="false">Depreciation!O43</f>
        <v>5483.165</v>
      </c>
      <c r="O20" s="347" t="n">
        <f aca="false">Depreciation!P43</f>
        <v>5483.165</v>
      </c>
      <c r="P20" s="347" t="n">
        <f aca="false">Depreciation!Q43</f>
        <v>5483.165</v>
      </c>
      <c r="Q20" s="347" t="n">
        <f aca="false">Depreciation!R43</f>
        <v>5483.165</v>
      </c>
      <c r="R20" s="347" t="n">
        <f aca="false">Depreciation!S43</f>
        <v>5483.165</v>
      </c>
      <c r="S20" s="347" t="n">
        <f aca="false">Depreciation!T43</f>
        <v>5483.165</v>
      </c>
      <c r="T20" s="347" t="n">
        <f aca="false">Depreciation!U43</f>
        <v>5483.165</v>
      </c>
      <c r="U20" s="347" t="n">
        <f aca="false">Depreciation!V43</f>
        <v>5483.165</v>
      </c>
      <c r="V20" s="347" t="n">
        <f aca="false">Depreciation!W43</f>
        <v>5483.165</v>
      </c>
      <c r="W20" s="347" t="n">
        <f aca="false">Depreciation!X43</f>
        <v>5115.03166666667</v>
      </c>
      <c r="X20" s="347" t="n">
        <f aca="false">Depreciation!Y43</f>
        <v>4930.965</v>
      </c>
      <c r="Y20" s="347" t="n">
        <f aca="false">Depreciation!Z43</f>
        <v>4930.965</v>
      </c>
      <c r="Z20" s="347" t="n">
        <f aca="false">Depreciation!AA43</f>
        <v>4930.965</v>
      </c>
      <c r="AA20" s="347" t="n">
        <f aca="false">Depreciation!AB43</f>
        <v>4930.965</v>
      </c>
      <c r="AB20" s="347" t="n">
        <f aca="false">Depreciation!AC43</f>
        <v>4930.965</v>
      </c>
      <c r="AC20" s="347" t="n">
        <f aca="false">Depreciation!AD43</f>
        <v>4930.965</v>
      </c>
      <c r="AD20" s="347" t="n">
        <f aca="false">Depreciation!AE43</f>
        <v>4930.965</v>
      </c>
      <c r="AE20" s="347" t="n">
        <f aca="false">Depreciation!AF43</f>
        <v>4930.965</v>
      </c>
      <c r="AF20" s="347" t="n">
        <f aca="false">Depreciation!AG43</f>
        <v>4930.965</v>
      </c>
      <c r="AG20" s="347" t="n">
        <f aca="false">Depreciation!AH43</f>
        <v>0</v>
      </c>
    </row>
    <row r="21" customFormat="false" ht="12.75" hidden="false" customHeight="false" outlineLevel="0" collapsed="false">
      <c r="A21" s="182" t="s">
        <v>294</v>
      </c>
      <c r="B21" s="39"/>
      <c r="C21" s="310" t="n">
        <f aca="false">C19-C20</f>
        <v>118061.326666667</v>
      </c>
      <c r="D21" s="310" t="n">
        <f aca="false">D19-D20</f>
        <v>115137.835</v>
      </c>
      <c r="E21" s="310" t="n">
        <f aca="false">E19-E20</f>
        <v>115137.835</v>
      </c>
      <c r="F21" s="310" t="n">
        <f aca="false">F19-F20</f>
        <v>115137.835</v>
      </c>
      <c r="G21" s="310" t="n">
        <f aca="false">G19-G20</f>
        <v>115137.835</v>
      </c>
      <c r="H21" s="310" t="n">
        <f aca="false">H19-H20</f>
        <v>115137.835</v>
      </c>
      <c r="I21" s="310" t="n">
        <f aca="false">I19-I20</f>
        <v>115137.835</v>
      </c>
      <c r="J21" s="310" t="n">
        <f aca="false">J19-J20</f>
        <v>115137.835</v>
      </c>
      <c r="K21" s="310" t="n">
        <f aca="false">K19-K20</f>
        <v>115137.835</v>
      </c>
      <c r="L21" s="310" t="n">
        <f aca="false">L19-L20</f>
        <v>115137.835</v>
      </c>
      <c r="M21" s="310" t="n">
        <f aca="false">M19-M20</f>
        <v>115137.835</v>
      </c>
      <c r="N21" s="310" t="n">
        <f aca="false">N19-N20</f>
        <v>115137.835</v>
      </c>
      <c r="O21" s="310" t="n">
        <f aca="false">O19-O20</f>
        <v>115137.835</v>
      </c>
      <c r="P21" s="310" t="n">
        <f aca="false">P19-P20</f>
        <v>115137.835</v>
      </c>
      <c r="Q21" s="310" t="n">
        <f aca="false">Q19-Q20</f>
        <v>115137.835</v>
      </c>
      <c r="R21" s="310" t="n">
        <f aca="false">R19-R20</f>
        <v>115137.835</v>
      </c>
      <c r="S21" s="310" t="n">
        <f aca="false">S19-S20</f>
        <v>115137.835</v>
      </c>
      <c r="T21" s="310" t="n">
        <f aca="false">T19-T20</f>
        <v>115137.835</v>
      </c>
      <c r="U21" s="310" t="n">
        <f aca="false">U19-U20</f>
        <v>115137.835</v>
      </c>
      <c r="V21" s="310" t="n">
        <f aca="false">V19-V20</f>
        <v>115137.835</v>
      </c>
      <c r="W21" s="310" t="n">
        <f aca="false">W19-W20</f>
        <v>115505.968333333</v>
      </c>
      <c r="X21" s="310" t="n">
        <f aca="false">X19-X20</f>
        <v>115690.035</v>
      </c>
      <c r="Y21" s="310" t="n">
        <f aca="false">Y19-Y20</f>
        <v>115690.035</v>
      </c>
      <c r="Z21" s="310" t="n">
        <f aca="false">Z19-Z20</f>
        <v>115690.035</v>
      </c>
      <c r="AA21" s="310" t="n">
        <f aca="false">AA19-AA20</f>
        <v>115690.035</v>
      </c>
      <c r="AB21" s="310" t="n">
        <f aca="false">AB19-AB20</f>
        <v>115690.035</v>
      </c>
      <c r="AC21" s="310" t="n">
        <f aca="false">AC19-AC20</f>
        <v>115690.035</v>
      </c>
      <c r="AD21" s="310" t="n">
        <f aca="false">AD19-AD20</f>
        <v>115690.035</v>
      </c>
      <c r="AE21" s="310" t="n">
        <f aca="false">AE19-AE20</f>
        <v>115690.035</v>
      </c>
      <c r="AF21" s="310" t="n">
        <f aca="false">AF19-AF20</f>
        <v>115690.035</v>
      </c>
      <c r="AG21" s="310" t="n">
        <f aca="false">AG19-AG20</f>
        <v>120621</v>
      </c>
    </row>
    <row r="22" customFormat="false" ht="12.75" hidden="false" customHeight="false" outlineLevel="0" collapsed="false">
      <c r="A22" s="182" t="s">
        <v>295</v>
      </c>
      <c r="B22" s="39"/>
      <c r="C22" s="310" t="n">
        <f aca="false">Assumptions!$C$40</f>
        <v>461.44</v>
      </c>
      <c r="D22" s="310" t="n">
        <f aca="false">Assumptions!$C$40</f>
        <v>461.44</v>
      </c>
      <c r="E22" s="310" t="n">
        <f aca="false">Assumptions!$C$40</f>
        <v>461.44</v>
      </c>
      <c r="F22" s="310" t="n">
        <f aca="false">Assumptions!$C$40</f>
        <v>461.44</v>
      </c>
      <c r="G22" s="310" t="n">
        <f aca="false">Assumptions!$C$40</f>
        <v>461.44</v>
      </c>
      <c r="H22" s="310" t="n">
        <f aca="false">Assumptions!$C$40</f>
        <v>461.44</v>
      </c>
      <c r="I22" s="310" t="n">
        <f aca="false">Assumptions!$C$40</f>
        <v>461.44</v>
      </c>
      <c r="J22" s="310" t="n">
        <f aca="false">Assumptions!$C$40</f>
        <v>461.44</v>
      </c>
      <c r="K22" s="310" t="n">
        <f aca="false">Assumptions!$C$40</f>
        <v>461.44</v>
      </c>
      <c r="L22" s="310" t="n">
        <f aca="false">Assumptions!$C$40</f>
        <v>461.44</v>
      </c>
      <c r="M22" s="310" t="n">
        <f aca="false">Assumptions!$C$40</f>
        <v>461.44</v>
      </c>
      <c r="N22" s="310" t="n">
        <f aca="false">Assumptions!$C$40</f>
        <v>461.44</v>
      </c>
      <c r="O22" s="310" t="n">
        <f aca="false">Assumptions!$C$40</f>
        <v>461.44</v>
      </c>
      <c r="P22" s="310" t="n">
        <f aca="false">Assumptions!$C$40</f>
        <v>461.44</v>
      </c>
      <c r="Q22" s="310" t="n">
        <f aca="false">Assumptions!$C$40</f>
        <v>461.44</v>
      </c>
      <c r="R22" s="310" t="n">
        <f aca="false">Assumptions!$C$40</f>
        <v>461.44</v>
      </c>
      <c r="S22" s="310" t="n">
        <f aca="false">Assumptions!$C$40</f>
        <v>461.44</v>
      </c>
      <c r="T22" s="310" t="n">
        <f aca="false">Assumptions!$C$40</f>
        <v>461.44</v>
      </c>
      <c r="U22" s="310" t="n">
        <f aca="false">Assumptions!$C$40</f>
        <v>461.44</v>
      </c>
      <c r="V22" s="310" t="n">
        <f aca="false">Assumptions!$C$40</f>
        <v>461.44</v>
      </c>
      <c r="W22" s="310" t="n">
        <f aca="false">Assumptions!$C$40</f>
        <v>461.44</v>
      </c>
      <c r="X22" s="310" t="n">
        <f aca="false">Assumptions!$C$40</f>
        <v>461.44</v>
      </c>
      <c r="Y22" s="310" t="n">
        <f aca="false">Assumptions!$C$40</f>
        <v>461.44</v>
      </c>
      <c r="Z22" s="310" t="n">
        <f aca="false">Assumptions!$C$40</f>
        <v>461.44</v>
      </c>
      <c r="AA22" s="310" t="n">
        <f aca="false">Assumptions!$C$40</f>
        <v>461.44</v>
      </c>
      <c r="AB22" s="310" t="n">
        <f aca="false">Assumptions!$C$40</f>
        <v>461.44</v>
      </c>
      <c r="AC22" s="310" t="n">
        <f aca="false">Assumptions!$C$40</f>
        <v>461.44</v>
      </c>
      <c r="AD22" s="310" t="n">
        <f aca="false">Assumptions!$C$40</f>
        <v>461.44</v>
      </c>
      <c r="AE22" s="310" t="n">
        <f aca="false">Assumptions!$C$40</f>
        <v>461.44</v>
      </c>
      <c r="AF22" s="310" t="n">
        <f aca="false">Assumptions!$C$40</f>
        <v>461.44</v>
      </c>
      <c r="AG22" s="310" t="n">
        <f aca="false">Assumptions!$C$40</f>
        <v>461.44</v>
      </c>
    </row>
    <row r="23" customFormat="false" ht="12.75" hidden="false" customHeight="false" outlineLevel="0" collapsed="false">
      <c r="A23" s="182" t="s">
        <v>296</v>
      </c>
      <c r="B23" s="39"/>
      <c r="C23" s="348" t="n">
        <v>0</v>
      </c>
      <c r="D23" s="348" t="n">
        <v>0</v>
      </c>
      <c r="E23" s="349" t="n">
        <v>0</v>
      </c>
      <c r="F23" s="350" t="n">
        <v>0</v>
      </c>
      <c r="G23" s="350" t="n">
        <v>0</v>
      </c>
      <c r="H23" s="350" t="n">
        <v>0</v>
      </c>
      <c r="I23" s="350" t="n">
        <v>0</v>
      </c>
      <c r="J23" s="350" t="n">
        <v>0</v>
      </c>
      <c r="K23" s="350" t="n">
        <v>0</v>
      </c>
      <c r="L23" s="350" t="n">
        <v>0</v>
      </c>
      <c r="M23" s="350" t="n">
        <v>0</v>
      </c>
      <c r="N23" s="350" t="n">
        <v>0</v>
      </c>
      <c r="O23" s="350" t="n">
        <v>0</v>
      </c>
      <c r="P23" s="350" t="n">
        <v>0</v>
      </c>
      <c r="Q23" s="350" t="n">
        <v>0</v>
      </c>
      <c r="R23" s="350" t="n">
        <v>0</v>
      </c>
      <c r="S23" s="350" t="n">
        <v>0</v>
      </c>
      <c r="T23" s="350" t="n">
        <v>0</v>
      </c>
      <c r="U23" s="350" t="n">
        <v>0</v>
      </c>
      <c r="V23" s="350" t="n">
        <v>0</v>
      </c>
      <c r="W23" s="350" t="n">
        <v>0</v>
      </c>
      <c r="X23" s="350" t="n">
        <v>0</v>
      </c>
      <c r="Y23" s="351" t="n">
        <v>0</v>
      </c>
      <c r="Z23" s="351" t="n">
        <v>0</v>
      </c>
      <c r="AA23" s="350" t="n">
        <v>0</v>
      </c>
      <c r="AB23" s="350" t="n">
        <v>0</v>
      </c>
      <c r="AC23" s="350" t="n">
        <v>0</v>
      </c>
      <c r="AD23" s="350" t="n">
        <v>0</v>
      </c>
      <c r="AE23" s="350" t="n">
        <v>0</v>
      </c>
      <c r="AF23" s="350" t="n">
        <v>0</v>
      </c>
      <c r="AG23" s="350" t="n">
        <v>0</v>
      </c>
    </row>
    <row r="24" customFormat="false" ht="12.75" hidden="false" customHeight="false" outlineLevel="0" collapsed="false">
      <c r="A24" s="39"/>
      <c r="B24" s="39"/>
      <c r="C24" s="39"/>
      <c r="D24" s="39"/>
      <c r="E24" s="127"/>
    </row>
    <row r="25" customFormat="false" ht="12.75" hidden="false" customHeight="false" outlineLevel="0" collapsed="false">
      <c r="A25" s="352" t="s">
        <v>297</v>
      </c>
      <c r="B25" s="39"/>
      <c r="C25" s="310" t="n">
        <f aca="false">SUM(C17,C21,C22,C23)</f>
        <v>118522.766666667</v>
      </c>
      <c r="D25" s="310" t="n">
        <f aca="false">SUM(D17,D21,D22,D23)</f>
        <v>115599.275</v>
      </c>
      <c r="E25" s="310" t="n">
        <f aca="false">SUM(E17,E21,E22,E23)</f>
        <v>115599.275</v>
      </c>
      <c r="F25" s="310" t="n">
        <f aca="false">SUM(F17,F21,F22,F23)</f>
        <v>115599.275</v>
      </c>
      <c r="G25" s="310" t="n">
        <f aca="false">SUM(G17,G21,G22,G23)</f>
        <v>115599.275</v>
      </c>
      <c r="H25" s="310" t="n">
        <f aca="false">SUM(H17,H21,H22,H23)</f>
        <v>115599.275</v>
      </c>
      <c r="I25" s="310" t="n">
        <f aca="false">SUM(I17,I21,I22,I23)</f>
        <v>115599.275</v>
      </c>
      <c r="J25" s="310" t="n">
        <f aca="false">SUM(J17,J21,J22,J23)</f>
        <v>115599.275</v>
      </c>
      <c r="K25" s="310" t="n">
        <f aca="false">SUM(K17,K21,K22,K23)</f>
        <v>115599.275</v>
      </c>
      <c r="L25" s="310" t="n">
        <f aca="false">SUM(L17,L21,L22,L23)</f>
        <v>115599.275</v>
      </c>
      <c r="M25" s="310" t="n">
        <f aca="false">SUM(M17,M21,M22,M23)</f>
        <v>115599.275</v>
      </c>
      <c r="N25" s="310" t="n">
        <f aca="false">SUM(N17,N21,N22,N23)</f>
        <v>115599.275</v>
      </c>
      <c r="O25" s="310" t="n">
        <f aca="false">SUM(O17,O21,O22,O23)</f>
        <v>115599.275</v>
      </c>
      <c r="P25" s="310" t="n">
        <f aca="false">SUM(P17,P21,P22,P23)</f>
        <v>115599.275</v>
      </c>
      <c r="Q25" s="310" t="n">
        <f aca="false">SUM(Q17,Q21,Q22,Q23)</f>
        <v>115599.275</v>
      </c>
      <c r="R25" s="310" t="n">
        <f aca="false">SUM(R17,R21,R22,R23)</f>
        <v>115599.275</v>
      </c>
      <c r="S25" s="310" t="n">
        <f aca="false">SUM(S17,S21,S22,S23)</f>
        <v>115599.275</v>
      </c>
      <c r="T25" s="310" t="n">
        <f aca="false">SUM(T17,T21,T22,T23)</f>
        <v>115599.275</v>
      </c>
      <c r="U25" s="310" t="n">
        <f aca="false">SUM(U17,U21,U22,U23)</f>
        <v>115599.275</v>
      </c>
      <c r="V25" s="310" t="n">
        <f aca="false">SUM(V17,V21,V22,V23)</f>
        <v>115599.275</v>
      </c>
      <c r="W25" s="310" t="n">
        <f aca="false">SUM(W17,W21,W22,W23)</f>
        <v>115967.408333333</v>
      </c>
      <c r="X25" s="310" t="n">
        <f aca="false">SUM(X17,X21,X22,X23)</f>
        <v>116151.475</v>
      </c>
      <c r="Y25" s="310" t="n">
        <f aca="false">SUM(Y17,Y21,Y22,Y23)</f>
        <v>116151.475</v>
      </c>
      <c r="Z25" s="310" t="n">
        <f aca="false">SUM(Z17,Z21,Z22,Z23)</f>
        <v>116151.475</v>
      </c>
      <c r="AA25" s="310" t="n">
        <f aca="false">SUM(AA17,AA21,AA22,AA23)</f>
        <v>116151.475</v>
      </c>
      <c r="AB25" s="310" t="n">
        <f aca="false">SUM(AB17,AB21,AB22,AB23)</f>
        <v>116151.475</v>
      </c>
      <c r="AC25" s="310" t="n">
        <f aca="false">SUM(AC17,AC21,AC22,AC23)</f>
        <v>116151.475</v>
      </c>
      <c r="AD25" s="310" t="n">
        <f aca="false">SUM(AD17,AD21,AD22,AD23)</f>
        <v>116151.475</v>
      </c>
      <c r="AE25" s="310" t="n">
        <f aca="false">SUM(AE17,AE21,AE22,AE23)</f>
        <v>116151.475</v>
      </c>
      <c r="AF25" s="310" t="n">
        <f aca="false">SUM(AF17,AF21,AF22,AF23)</f>
        <v>116151.475</v>
      </c>
      <c r="AG25" s="310" t="n">
        <f aca="false">SUM(AG17,AG21,AG22,AG23)</f>
        <v>121082.44</v>
      </c>
    </row>
    <row r="26" customFormat="false" ht="12.75" hidden="false" customHeight="false" outlineLevel="0" collapsed="false">
      <c r="A26" s="39"/>
      <c r="B26" s="39"/>
      <c r="C26" s="39"/>
      <c r="D26" s="39"/>
      <c r="E26" s="127"/>
    </row>
    <row r="27" customFormat="false" ht="12.75" hidden="false" customHeight="false" outlineLevel="0" collapsed="false">
      <c r="A27" s="39"/>
      <c r="B27" s="39"/>
      <c r="C27" s="39"/>
      <c r="D27" s="39"/>
      <c r="E27" s="127"/>
    </row>
    <row r="28" customFormat="false" ht="12.75" hidden="false" customHeight="false" outlineLevel="0" collapsed="false">
      <c r="A28" s="352" t="s">
        <v>298</v>
      </c>
      <c r="B28" s="39"/>
      <c r="C28" s="39"/>
      <c r="D28" s="39"/>
      <c r="E28" s="127"/>
    </row>
    <row r="29" customFormat="false" ht="12.75" hidden="false" customHeight="false" outlineLevel="0" collapsed="false">
      <c r="A29" s="352"/>
      <c r="B29" s="39"/>
      <c r="C29" s="39"/>
      <c r="D29" s="39"/>
      <c r="E29" s="127"/>
    </row>
    <row r="30" customFormat="false" ht="12.75" hidden="false" customHeight="false" outlineLevel="0" collapsed="false">
      <c r="A30" s="182" t="s">
        <v>299</v>
      </c>
      <c r="C30" s="39"/>
      <c r="D30" s="39"/>
      <c r="E30" s="127"/>
    </row>
    <row r="31" customFormat="false" ht="12.75" hidden="false" customHeight="false" outlineLevel="0" collapsed="false">
      <c r="A31" s="182" t="s">
        <v>300</v>
      </c>
      <c r="C31" s="39"/>
      <c r="D31" s="39"/>
      <c r="E31" s="127"/>
    </row>
    <row r="32" customFormat="false" ht="12.75" hidden="false" customHeight="false" outlineLevel="0" collapsed="false">
      <c r="A32" s="182" t="s">
        <v>301</v>
      </c>
      <c r="C32" s="39"/>
      <c r="D32" s="39"/>
      <c r="E32" s="127"/>
    </row>
    <row r="33" customFormat="false" ht="12.75" hidden="false" customHeight="false" outlineLevel="0" collapsed="false">
      <c r="A33" s="182" t="s">
        <v>302</v>
      </c>
      <c r="C33" s="39"/>
      <c r="D33" s="39"/>
      <c r="E33" s="127"/>
    </row>
    <row r="34" customFormat="false" ht="12.75" hidden="false" customHeight="false" outlineLevel="0" collapsed="false">
      <c r="A34" s="182" t="s">
        <v>303</v>
      </c>
      <c r="C34" s="39"/>
      <c r="D34" s="39"/>
      <c r="E34" s="127"/>
    </row>
    <row r="35" customFormat="false" ht="12.75" hidden="false" customHeight="false" outlineLevel="0" collapsed="false">
      <c r="A35" s="182" t="s">
        <v>304</v>
      </c>
      <c r="C35" s="39"/>
      <c r="D35" s="39"/>
      <c r="E35" s="127"/>
    </row>
    <row r="36" customFormat="false" ht="12.75" hidden="false" customHeight="false" outlineLevel="0" collapsed="false">
      <c r="A36" s="182"/>
      <c r="C36" s="39"/>
      <c r="D36" s="39"/>
      <c r="E36" s="127"/>
    </row>
    <row r="37" customFormat="false" ht="12.75" hidden="false" customHeight="false" outlineLevel="0" collapsed="false">
      <c r="A37" s="352" t="s">
        <v>305</v>
      </c>
      <c r="B37" s="39"/>
      <c r="C37" s="39"/>
      <c r="D37" s="39"/>
      <c r="E37" s="127"/>
    </row>
    <row r="38" customFormat="false" ht="12.75" hidden="false" customHeight="false" outlineLevel="0" collapsed="false">
      <c r="A38" s="182"/>
      <c r="B38" s="39"/>
      <c r="C38" s="39"/>
      <c r="D38" s="39"/>
      <c r="E38" s="127"/>
    </row>
    <row r="39" customFormat="false" ht="12.75" hidden="false" customHeight="false" outlineLevel="0" collapsed="false">
      <c r="A39" s="352" t="s">
        <v>306</v>
      </c>
      <c r="B39" s="39"/>
      <c r="C39" s="39"/>
      <c r="D39" s="39"/>
      <c r="E39" s="127"/>
    </row>
    <row r="40" customFormat="false" ht="12.75" hidden="false" customHeight="false" outlineLevel="0" collapsed="false">
      <c r="A40" s="352"/>
      <c r="B40" s="39"/>
      <c r="C40" s="39"/>
      <c r="D40" s="39"/>
      <c r="E40" s="127"/>
    </row>
    <row r="41" customFormat="false" ht="12.75" hidden="false" customHeight="false" outlineLevel="0" collapsed="false">
      <c r="A41" s="182" t="s">
        <v>307</v>
      </c>
      <c r="C41" s="39"/>
      <c r="D41" s="39"/>
      <c r="E41" s="127"/>
    </row>
    <row r="42" customFormat="false" ht="12.75" hidden="false" customHeight="false" outlineLevel="0" collapsed="false">
      <c r="A42" s="182" t="s">
        <v>308</v>
      </c>
      <c r="C42" s="39"/>
      <c r="D42" s="39"/>
      <c r="E42" s="127"/>
    </row>
    <row r="43" customFormat="false" ht="12.75" hidden="false" customHeight="false" outlineLevel="0" collapsed="false">
      <c r="A43" s="182" t="s">
        <v>309</v>
      </c>
      <c r="C43" s="39"/>
      <c r="D43" s="39"/>
      <c r="E43" s="127"/>
    </row>
    <row r="44" customFormat="false" ht="12.75" hidden="false" customHeight="false" outlineLevel="0" collapsed="false">
      <c r="A44" s="39"/>
      <c r="B44" s="39"/>
      <c r="C44" s="39"/>
      <c r="D44" s="39"/>
      <c r="E44" s="127"/>
    </row>
    <row r="45" customFormat="false" ht="12.75" hidden="false" customHeight="false" outlineLevel="0" collapsed="false">
      <c r="A45" s="352" t="s">
        <v>310</v>
      </c>
      <c r="B45" s="39"/>
      <c r="C45" s="39"/>
      <c r="D45" s="39"/>
      <c r="E45" s="127"/>
    </row>
    <row r="46" customFormat="false" ht="12.75" hidden="false" customHeight="false" outlineLevel="0" collapsed="false">
      <c r="A46" s="182"/>
      <c r="B46" s="39"/>
      <c r="C46" s="39"/>
      <c r="D46" s="39"/>
      <c r="E46" s="127"/>
    </row>
    <row r="47" customFormat="false" ht="12.75" hidden="false" customHeight="false" outlineLevel="0" collapsed="false">
      <c r="A47" s="352" t="s">
        <v>311</v>
      </c>
      <c r="B47" s="39"/>
      <c r="C47" s="39"/>
      <c r="D47" s="39"/>
      <c r="E47" s="127"/>
    </row>
    <row r="48" customFormat="false" ht="12.75" hidden="false" customHeight="false" outlineLevel="0" collapsed="false">
      <c r="A48" s="39"/>
      <c r="B48" s="39"/>
      <c r="C48" s="39"/>
      <c r="D48" s="39"/>
      <c r="E48" s="127"/>
    </row>
    <row r="49" customFormat="false" ht="12.75" hidden="false" customHeight="false" outlineLevel="0" collapsed="false">
      <c r="A49" s="39"/>
      <c r="B49" s="39"/>
      <c r="C49" s="39"/>
      <c r="D49" s="39"/>
      <c r="E49" s="127"/>
    </row>
    <row r="50" customFormat="false" ht="12.75" hidden="false" customHeight="false" outlineLevel="0" collapsed="false">
      <c r="A50" s="39"/>
      <c r="B50" s="39"/>
      <c r="C50" s="39"/>
      <c r="D50" s="39"/>
      <c r="E50" s="127"/>
    </row>
    <row r="51" customFormat="false" ht="12.75" hidden="false" customHeight="false" outlineLevel="0" collapsed="false">
      <c r="A51" s="39"/>
      <c r="B51" s="39"/>
      <c r="C51" s="39"/>
      <c r="D51" s="39"/>
      <c r="E51" s="127"/>
    </row>
    <row r="52" customFormat="false" ht="12.75" hidden="false" customHeight="false" outlineLevel="0" collapsed="false">
      <c r="A52" s="39"/>
      <c r="B52" s="39"/>
      <c r="C52" s="39"/>
      <c r="D52" s="39"/>
      <c r="E52" s="127"/>
    </row>
    <row r="53" customFormat="false" ht="12.75" hidden="false" customHeight="false" outlineLevel="0" collapsed="false">
      <c r="A53" s="39"/>
      <c r="B53" s="39"/>
      <c r="C53" s="39"/>
      <c r="D53" s="39"/>
      <c r="E53" s="127"/>
    </row>
    <row r="54" customFormat="false" ht="12.75" hidden="false" customHeight="false" outlineLevel="0" collapsed="false">
      <c r="A54" s="39"/>
      <c r="B54" s="39"/>
      <c r="C54" s="39"/>
      <c r="D54" s="39"/>
      <c r="E54" s="127"/>
    </row>
    <row r="55" customFormat="false" ht="12.75" hidden="false" customHeight="false" outlineLevel="0" collapsed="false">
      <c r="A55" s="39"/>
      <c r="B55" s="127"/>
      <c r="C55" s="127"/>
      <c r="D55" s="127"/>
      <c r="E55" s="127"/>
    </row>
    <row r="56" customFormat="false" ht="12.75" hidden="false" customHeight="false" outlineLevel="0" collapsed="false">
      <c r="A56" s="39"/>
      <c r="B56" s="127"/>
      <c r="C56" s="127"/>
      <c r="D56" s="127"/>
      <c r="E56" s="127"/>
    </row>
    <row r="57" customFormat="false" ht="12.75" hidden="false" customHeight="false" outlineLevel="0" collapsed="false">
      <c r="A57" s="39"/>
      <c r="B57" s="127"/>
      <c r="C57" s="127"/>
      <c r="D57" s="127"/>
      <c r="E57" s="127"/>
    </row>
    <row r="58" customFormat="false" ht="12.75" hidden="false" customHeight="false" outlineLevel="0" collapsed="false">
      <c r="A58" s="39"/>
      <c r="B58" s="127"/>
      <c r="C58" s="127"/>
      <c r="D58" s="127"/>
      <c r="E58" s="127"/>
    </row>
    <row r="59" customFormat="false" ht="12.75" hidden="false" customHeight="false" outlineLevel="0" collapsed="false">
      <c r="A59" s="39"/>
      <c r="B59" s="127"/>
      <c r="C59" s="127"/>
      <c r="D59" s="127"/>
      <c r="E59" s="127"/>
    </row>
    <row r="60" customFormat="false" ht="12.75" hidden="false" customHeight="false" outlineLevel="0" collapsed="false">
      <c r="A60" s="39"/>
      <c r="B60" s="127"/>
      <c r="C60" s="127"/>
      <c r="D60" s="127"/>
      <c r="E60" s="127"/>
    </row>
    <row r="61" customFormat="false" ht="12.75" hidden="false" customHeight="false" outlineLevel="0" collapsed="false">
      <c r="A61" s="127"/>
      <c r="B61" s="127"/>
      <c r="C61" s="127"/>
      <c r="D61" s="127"/>
      <c r="E61" s="127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86" activeCellId="0" sqref="B8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" min="2" style="1" width="18.41"/>
    <col collapsed="false" customWidth="true" hidden="false" outlineLevel="0" max="6" min="3" style="1" width="14.56"/>
    <col collapsed="false" customWidth="true" hidden="false" outlineLevel="0" max="7" min="7" style="1" width="17.56"/>
    <col collapsed="false" customWidth="true" hidden="false" outlineLevel="0" max="8" min="8" style="1" width="16.13"/>
    <col collapsed="false" customWidth="true" hidden="false" outlineLevel="0" max="9" min="9" style="1" width="16.28"/>
    <col collapsed="false" customWidth="true" hidden="false" outlineLevel="0" max="22" min="10" style="1" width="14.56"/>
    <col collapsed="false" customWidth="true" hidden="false" outlineLevel="0" max="26" min="23" style="1" width="14.41"/>
    <col collapsed="false" customWidth="true" hidden="false" outlineLevel="0" max="28" min="27" style="270" width="14.41"/>
    <col collapsed="false" customWidth="true" hidden="false" outlineLevel="0" max="42" min="29" style="1" width="14.41"/>
    <col collapsed="false" customWidth="false" hidden="false" outlineLevel="0" max="257" min="43" style="1" width="9.14"/>
  </cols>
  <sheetData>
    <row r="1" customFormat="false" ht="18.75" hidden="false" customHeight="false" outlineLevel="0" collapsed="false">
      <c r="A1" s="353"/>
    </row>
    <row r="2" customFormat="false" ht="18.75" hidden="false" customHeight="false" outlineLevel="0" collapsed="false">
      <c r="A2" s="353"/>
    </row>
    <row r="4" customFormat="false" ht="15.75" hidden="false" customHeight="false" outlineLevel="0" collapsed="false">
      <c r="A4" s="354"/>
      <c r="C4" s="355" t="s">
        <v>136</v>
      </c>
      <c r="D4" s="355"/>
      <c r="E4" s="355"/>
      <c r="F4" s="355"/>
      <c r="I4" s="355" t="s">
        <v>137</v>
      </c>
      <c r="J4" s="355"/>
      <c r="K4" s="355"/>
      <c r="L4" s="355"/>
      <c r="O4" s="355" t="s">
        <v>138</v>
      </c>
      <c r="P4" s="355"/>
      <c r="Q4" s="355"/>
      <c r="R4" s="355"/>
    </row>
    <row r="5" customFormat="false" ht="12.75" hidden="false" customHeight="false" outlineLevel="0" collapsed="false">
      <c r="A5" s="354"/>
      <c r="C5" s="356" t="s">
        <v>312</v>
      </c>
      <c r="D5" s="357"/>
      <c r="E5" s="357"/>
      <c r="F5" s="358" t="n">
        <f aca="false">Assumptions!B58</f>
        <v>0.04</v>
      </c>
      <c r="G5" s="359"/>
      <c r="H5" s="80"/>
      <c r="I5" s="356" t="s">
        <v>312</v>
      </c>
      <c r="J5" s="272"/>
      <c r="K5" s="272"/>
      <c r="L5" s="358" t="n">
        <f aca="false">Assumptions!C58</f>
        <v>0.04</v>
      </c>
      <c r="M5" s="80"/>
      <c r="N5" s="80"/>
      <c r="O5" s="356" t="s">
        <v>312</v>
      </c>
      <c r="P5" s="272"/>
      <c r="Q5" s="272"/>
      <c r="R5" s="358" t="n">
        <f aca="false">Assumptions!D58</f>
        <v>0.04</v>
      </c>
      <c r="S5" s="80"/>
      <c r="T5" s="80"/>
      <c r="U5" s="80"/>
      <c r="V5" s="80"/>
      <c r="W5" s="80"/>
    </row>
    <row r="6" customFormat="false" ht="12.75" hidden="false" customHeight="false" outlineLevel="0" collapsed="false">
      <c r="A6" s="354"/>
      <c r="C6" s="356" t="s">
        <v>313</v>
      </c>
      <c r="D6" s="357"/>
      <c r="E6" s="357"/>
      <c r="F6" s="358" t="n">
        <f aca="false">Assumptions!B59</f>
        <v>0.03</v>
      </c>
      <c r="G6" s="80"/>
      <c r="H6" s="80"/>
      <c r="I6" s="360" t="s">
        <v>314</v>
      </c>
      <c r="J6" s="272"/>
      <c r="K6" s="272"/>
      <c r="L6" s="358" t="n">
        <f aca="false">Assumptions!C59</f>
        <v>0.04</v>
      </c>
      <c r="M6" s="80"/>
      <c r="N6" s="80"/>
      <c r="O6" s="360" t="s">
        <v>314</v>
      </c>
      <c r="P6" s="272"/>
      <c r="Q6" s="272"/>
      <c r="R6" s="358" t="n">
        <f aca="false">Assumptions!D59</f>
        <v>0.04</v>
      </c>
      <c r="S6" s="80"/>
      <c r="T6" s="80"/>
      <c r="U6" s="80"/>
      <c r="V6" s="80"/>
      <c r="W6" s="80"/>
    </row>
    <row r="7" customFormat="false" ht="12.75" hidden="false" customHeight="false" outlineLevel="0" collapsed="false">
      <c r="A7" s="354"/>
      <c r="C7" s="361" t="s">
        <v>315</v>
      </c>
      <c r="D7" s="362"/>
      <c r="E7" s="362"/>
      <c r="F7" s="363" t="n">
        <f aca="false">F6+F5</f>
        <v>0.07</v>
      </c>
      <c r="I7" s="361" t="s">
        <v>315</v>
      </c>
      <c r="J7" s="362"/>
      <c r="K7" s="362"/>
      <c r="L7" s="363" t="n">
        <f aca="false">L5+L6</f>
        <v>0.08</v>
      </c>
      <c r="O7" s="361" t="s">
        <v>315</v>
      </c>
      <c r="P7" s="362"/>
      <c r="Q7" s="362"/>
      <c r="R7" s="363" t="n">
        <f aca="false">R5+R6</f>
        <v>0.08</v>
      </c>
    </row>
    <row r="8" customFormat="false" ht="15.75" hidden="false" customHeight="false" outlineLevel="0" collapsed="false">
      <c r="A8" s="354"/>
      <c r="C8" s="364" t="s">
        <v>316</v>
      </c>
      <c r="D8" s="365"/>
      <c r="E8" s="366"/>
      <c r="F8" s="367" t="n">
        <f aca="false">Assumptions!B53</f>
        <v>25</v>
      </c>
      <c r="I8" s="364" t="s">
        <v>316</v>
      </c>
      <c r="J8" s="368"/>
      <c r="K8" s="368"/>
      <c r="L8" s="367" t="n">
        <f aca="false">Assumptions!C53</f>
        <v>10</v>
      </c>
      <c r="O8" s="364" t="s">
        <v>316</v>
      </c>
      <c r="P8" s="368"/>
      <c r="Q8" s="368"/>
      <c r="R8" s="367" t="n">
        <f aca="false">Assumptions!D53</f>
        <v>20</v>
      </c>
    </row>
    <row r="9" customFormat="false" ht="15.75" hidden="false" customHeight="false" outlineLevel="0" collapsed="false">
      <c r="A9" s="354"/>
      <c r="C9" s="369" t="s">
        <v>317</v>
      </c>
      <c r="D9" s="344"/>
      <c r="E9" s="344"/>
      <c r="F9" s="370" t="n">
        <f aca="false">B119</f>
        <v>8.62</v>
      </c>
      <c r="I9" s="369" t="s">
        <v>317</v>
      </c>
      <c r="J9" s="371"/>
      <c r="K9" s="371"/>
      <c r="L9" s="370" t="e">
        <f aca="false">B120</f>
        <v>#DIV/0!</v>
      </c>
      <c r="O9" s="369" t="s">
        <v>317</v>
      </c>
      <c r="P9" s="371"/>
      <c r="Q9" s="371"/>
      <c r="R9" s="370" t="e">
        <f aca="false">B121</f>
        <v>#DIV/0!</v>
      </c>
    </row>
    <row r="10" customFormat="false" ht="12.75" hidden="false" customHeight="false" outlineLevel="0" collapsed="false">
      <c r="A10" s="354"/>
      <c r="C10" s="372" t="s">
        <v>318</v>
      </c>
      <c r="D10" s="373"/>
      <c r="E10" s="373"/>
      <c r="F10" s="374" t="n">
        <f aca="false">Assumptions!B52</f>
        <v>110855.850382461</v>
      </c>
      <c r="G10" s="80"/>
      <c r="H10" s="80"/>
      <c r="I10" s="375" t="s">
        <v>318</v>
      </c>
      <c r="J10" s="376"/>
      <c r="K10" s="376"/>
      <c r="L10" s="374" t="n">
        <f aca="false">Assumptions!C52</f>
        <v>0</v>
      </c>
      <c r="M10" s="80"/>
      <c r="N10" s="80"/>
      <c r="O10" s="375" t="s">
        <v>318</v>
      </c>
      <c r="P10" s="376"/>
      <c r="Q10" s="376"/>
      <c r="R10" s="374" t="n">
        <f aca="false">Assumptions!D52</f>
        <v>0</v>
      </c>
      <c r="S10" s="80"/>
      <c r="T10" s="80"/>
    </row>
    <row r="11" customFormat="false" ht="12.75" hidden="false" customHeight="false" outlineLevel="0" collapsed="false">
      <c r="A11" s="354"/>
      <c r="C11" s="377"/>
      <c r="D11" s="357"/>
      <c r="E11" s="357"/>
      <c r="F11" s="378"/>
      <c r="I11" s="377"/>
      <c r="J11" s="377"/>
      <c r="K11" s="377"/>
      <c r="L11" s="378"/>
      <c r="O11" s="377"/>
      <c r="P11" s="377"/>
      <c r="Q11" s="377"/>
      <c r="R11" s="0"/>
    </row>
    <row r="12" customFormat="false" ht="12.75" hidden="false" customHeight="false" outlineLevel="0" collapsed="false">
      <c r="A12" s="354"/>
      <c r="C12" s="377"/>
      <c r="D12" s="357"/>
      <c r="E12" s="357"/>
      <c r="F12" s="378"/>
      <c r="I12" s="377"/>
      <c r="J12" s="377"/>
      <c r="K12" s="377"/>
      <c r="L12" s="378"/>
      <c r="O12" s="377"/>
      <c r="P12" s="377"/>
      <c r="Q12" s="377"/>
      <c r="R12" s="378"/>
    </row>
    <row r="13" customFormat="false" ht="12.75" hidden="false" customHeight="false" outlineLevel="0" collapsed="false">
      <c r="A13" s="354"/>
      <c r="C13" s="377"/>
      <c r="D13" s="357"/>
      <c r="E13" s="357"/>
      <c r="F13" s="0"/>
      <c r="I13" s="377"/>
      <c r="J13" s="377"/>
      <c r="K13" s="377"/>
      <c r="L13" s="378"/>
      <c r="O13" s="377"/>
      <c r="P13" s="377"/>
      <c r="Q13" s="377"/>
      <c r="R13" s="0"/>
    </row>
    <row r="14" customFormat="false" ht="18.75" hidden="false" customHeight="false" outlineLevel="0" collapsed="false">
      <c r="A14" s="379" t="str">
        <f aca="false">Assumptions!A3</f>
        <v>PROJECT NAME: LINCOLN</v>
      </c>
      <c r="C14" s="377"/>
      <c r="D14" s="357"/>
      <c r="E14" s="357"/>
      <c r="F14" s="378"/>
      <c r="G14" s="80"/>
      <c r="H14" s="80"/>
      <c r="I14" s="263"/>
      <c r="J14" s="263"/>
      <c r="K14" s="263"/>
      <c r="L14" s="378"/>
      <c r="M14" s="80"/>
      <c r="N14" s="80"/>
      <c r="O14" s="263"/>
      <c r="P14" s="263"/>
      <c r="Q14" s="263"/>
      <c r="R14" s="378"/>
      <c r="S14" s="80"/>
      <c r="T14" s="80"/>
      <c r="U14" s="80"/>
      <c r="V14" s="80"/>
      <c r="W14" s="80"/>
      <c r="X14" s="80"/>
    </row>
    <row r="15" customFormat="false" ht="12.75" hidden="false" customHeight="false" outlineLevel="0" collapsed="false">
      <c r="A15" s="354"/>
      <c r="C15" s="377"/>
      <c r="D15" s="357"/>
      <c r="E15" s="357"/>
      <c r="F15" s="378"/>
      <c r="G15" s="80"/>
      <c r="H15" s="80"/>
      <c r="I15" s="263"/>
      <c r="J15" s="263"/>
      <c r="K15" s="263"/>
      <c r="L15" s="378"/>
      <c r="M15" s="80"/>
      <c r="N15" s="80"/>
      <c r="O15" s="263"/>
      <c r="P15" s="263"/>
      <c r="Q15" s="263"/>
      <c r="R15" s="378"/>
      <c r="S15" s="80"/>
      <c r="T15" s="80"/>
      <c r="U15" s="80"/>
      <c r="V15" s="80"/>
      <c r="W15" s="80"/>
      <c r="X15" s="80"/>
    </row>
    <row r="16" customFormat="false" ht="18.75" hidden="false" customHeight="false" outlineLevel="0" collapsed="false">
      <c r="A16" s="259" t="s">
        <v>319</v>
      </c>
      <c r="C16" s="377"/>
      <c r="D16" s="357"/>
      <c r="E16" s="357"/>
      <c r="F16" s="378"/>
      <c r="I16" s="377"/>
      <c r="J16" s="377"/>
      <c r="K16" s="377"/>
      <c r="L16" s="378"/>
      <c r="O16" s="377"/>
      <c r="P16" s="377"/>
      <c r="Q16" s="377"/>
      <c r="R16" s="378"/>
    </row>
    <row r="17" customFormat="false" ht="12.75" hidden="false" customHeight="false" outlineLevel="0" collapsed="false">
      <c r="A17" s="263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80"/>
      <c r="Q17" s="380"/>
      <c r="R17" s="380"/>
      <c r="S17" s="380"/>
      <c r="T17" s="380"/>
      <c r="U17" s="380"/>
      <c r="V17" s="380"/>
      <c r="W17" s="380"/>
      <c r="X17" s="380"/>
      <c r="Y17" s="380"/>
      <c r="Z17" s="380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</row>
    <row r="18" customFormat="false" ht="13.5" hidden="false" customHeight="false" outlineLevel="0" collapsed="false">
      <c r="A18" s="381"/>
      <c r="B18" s="382"/>
      <c r="C18" s="382"/>
      <c r="D18" s="382"/>
      <c r="E18" s="382"/>
      <c r="F18" s="382"/>
      <c r="G18" s="382"/>
      <c r="H18" s="382"/>
      <c r="I18" s="382"/>
      <c r="J18" s="382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3"/>
      <c r="AH18" s="383"/>
      <c r="AI18" s="383"/>
      <c r="AJ18" s="383"/>
      <c r="AK18" s="383"/>
      <c r="AL18" s="383"/>
      <c r="AM18" s="383"/>
      <c r="AN18" s="383"/>
      <c r="AO18" s="383"/>
      <c r="AP18" s="383"/>
      <c r="AQ18" s="383"/>
      <c r="AR18" s="383"/>
      <c r="AS18" s="383"/>
      <c r="AT18" s="383"/>
      <c r="AU18" s="383"/>
      <c r="AV18" s="383"/>
      <c r="AW18" s="383"/>
      <c r="AX18" s="383"/>
      <c r="AY18" s="383"/>
      <c r="AZ18" s="383"/>
      <c r="BA18" s="383"/>
      <c r="BB18" s="383"/>
      <c r="BC18" s="383"/>
      <c r="BD18" s="383"/>
      <c r="BE18" s="383"/>
      <c r="BF18" s="383"/>
      <c r="BG18" s="383"/>
      <c r="BH18" s="383"/>
      <c r="BI18" s="383"/>
      <c r="BJ18" s="383"/>
      <c r="BK18" s="383"/>
      <c r="BL18" s="383"/>
      <c r="BM18" s="383"/>
      <c r="BN18" s="383"/>
      <c r="BO18" s="383"/>
      <c r="BP18" s="383"/>
      <c r="BQ18" s="383"/>
      <c r="BR18" s="383"/>
      <c r="BS18" s="383"/>
      <c r="BT18" s="383"/>
      <c r="BU18" s="383"/>
      <c r="BV18" s="383"/>
      <c r="BW18" s="383"/>
      <c r="BX18" s="383"/>
      <c r="BY18" s="383"/>
      <c r="BZ18" s="383"/>
      <c r="CA18" s="383"/>
      <c r="CB18" s="383"/>
      <c r="CC18" s="383"/>
      <c r="CD18" s="383"/>
      <c r="CE18" s="383"/>
      <c r="CF18" s="383"/>
      <c r="CG18" s="383"/>
      <c r="CH18" s="383"/>
      <c r="CI18" s="383"/>
      <c r="CJ18" s="383"/>
      <c r="CK18" s="383"/>
      <c r="CL18" s="383"/>
      <c r="CM18" s="383"/>
      <c r="CN18" s="383"/>
      <c r="CO18" s="383"/>
      <c r="CP18" s="383"/>
      <c r="CQ18" s="383"/>
      <c r="CR18" s="383"/>
      <c r="CS18" s="383"/>
      <c r="CT18" s="383"/>
      <c r="CU18" s="383"/>
      <c r="CV18" s="383"/>
      <c r="CW18" s="383"/>
      <c r="CX18" s="383"/>
      <c r="CY18" s="383"/>
      <c r="CZ18" s="383"/>
      <c r="DA18" s="383"/>
      <c r="DB18" s="383"/>
      <c r="DC18" s="383"/>
      <c r="DD18" s="383"/>
      <c r="DE18" s="383"/>
      <c r="DF18" s="383"/>
      <c r="DG18" s="383"/>
      <c r="DH18" s="383"/>
      <c r="DI18" s="383"/>
      <c r="DJ18" s="383"/>
      <c r="DK18" s="383"/>
      <c r="DL18" s="383"/>
      <c r="DM18" s="383"/>
      <c r="DN18" s="383"/>
      <c r="DO18" s="383"/>
      <c r="DP18" s="383"/>
      <c r="DQ18" s="383"/>
      <c r="DR18" s="383"/>
      <c r="DS18" s="383"/>
      <c r="DT18" s="383"/>
      <c r="DU18" s="383"/>
      <c r="DV18" s="383"/>
      <c r="DW18" s="383"/>
      <c r="DX18" s="383"/>
      <c r="DY18" s="383"/>
      <c r="DZ18" s="383"/>
      <c r="EA18" s="383"/>
      <c r="EB18" s="383"/>
      <c r="EC18" s="383"/>
      <c r="ED18" s="383"/>
      <c r="EE18" s="383"/>
      <c r="EF18" s="383"/>
      <c r="EG18" s="383"/>
      <c r="EH18" s="383"/>
      <c r="EI18" s="383"/>
      <c r="EJ18" s="383"/>
      <c r="EK18" s="383"/>
      <c r="EL18" s="383"/>
      <c r="EM18" s="383"/>
      <c r="EN18" s="383"/>
      <c r="EO18" s="383"/>
      <c r="EP18" s="383"/>
      <c r="EQ18" s="383"/>
      <c r="ER18" s="383"/>
      <c r="ES18" s="383"/>
      <c r="ET18" s="383"/>
      <c r="EU18" s="383"/>
      <c r="EV18" s="383"/>
      <c r="EW18" s="383"/>
      <c r="EX18" s="383"/>
      <c r="EY18" s="383"/>
      <c r="EZ18" s="383"/>
      <c r="FA18" s="383"/>
      <c r="FB18" s="383"/>
      <c r="FC18" s="383"/>
      <c r="FD18" s="383"/>
      <c r="FE18" s="383"/>
      <c r="FF18" s="383"/>
      <c r="FG18" s="383"/>
      <c r="FH18" s="383"/>
      <c r="FI18" s="383"/>
      <c r="FJ18" s="383"/>
      <c r="FK18" s="383"/>
      <c r="FL18" s="383"/>
      <c r="FM18" s="383"/>
      <c r="FN18" s="383"/>
      <c r="FO18" s="383"/>
      <c r="FP18" s="383"/>
      <c r="FQ18" s="383"/>
      <c r="FR18" s="383"/>
      <c r="FS18" s="383"/>
      <c r="FT18" s="383"/>
      <c r="FU18" s="383"/>
      <c r="FV18" s="383"/>
      <c r="FW18" s="383"/>
      <c r="FX18" s="383"/>
      <c r="FY18" s="383"/>
      <c r="FZ18" s="383"/>
      <c r="GA18" s="383"/>
      <c r="GB18" s="383"/>
      <c r="GC18" s="383"/>
      <c r="GD18" s="383"/>
      <c r="GE18" s="383"/>
      <c r="GF18" s="383"/>
      <c r="GG18" s="383"/>
      <c r="GH18" s="383"/>
      <c r="GI18" s="383"/>
      <c r="GJ18" s="383"/>
      <c r="GK18" s="383"/>
      <c r="GL18" s="383"/>
      <c r="GM18" s="383"/>
      <c r="GN18" s="383"/>
      <c r="GO18" s="383"/>
      <c r="GP18" s="383"/>
      <c r="GQ18" s="383"/>
      <c r="GR18" s="383"/>
      <c r="GS18" s="383"/>
      <c r="GT18" s="383"/>
      <c r="GU18" s="383"/>
      <c r="GV18" s="383"/>
      <c r="GW18" s="383"/>
      <c r="GX18" s="383"/>
      <c r="GY18" s="383"/>
      <c r="GZ18" s="383"/>
      <c r="HA18" s="383"/>
      <c r="HB18" s="383"/>
      <c r="HC18" s="383"/>
      <c r="HD18" s="383"/>
      <c r="HE18" s="383"/>
      <c r="HF18" s="383"/>
      <c r="HG18" s="383"/>
      <c r="HH18" s="383"/>
      <c r="HI18" s="383"/>
      <c r="HJ18" s="383"/>
      <c r="HK18" s="383"/>
      <c r="HL18" s="383"/>
      <c r="HM18" s="383"/>
      <c r="HN18" s="383"/>
      <c r="HO18" s="383"/>
      <c r="HP18" s="383"/>
      <c r="HQ18" s="383"/>
      <c r="HR18" s="383"/>
      <c r="HS18" s="383"/>
      <c r="HT18" s="383"/>
      <c r="HU18" s="383"/>
      <c r="HV18" s="383"/>
      <c r="HW18" s="383"/>
      <c r="HX18" s="383"/>
      <c r="HY18" s="383"/>
      <c r="HZ18" s="383"/>
      <c r="IA18" s="383"/>
      <c r="IB18" s="383"/>
      <c r="IC18" s="383"/>
      <c r="ID18" s="383"/>
      <c r="IE18" s="383"/>
      <c r="IF18" s="383"/>
      <c r="IG18" s="383"/>
      <c r="IH18" s="383"/>
      <c r="II18" s="383"/>
      <c r="IJ18" s="383"/>
      <c r="IK18" s="383"/>
      <c r="IL18" s="383"/>
      <c r="IM18" s="383"/>
      <c r="IN18" s="383"/>
      <c r="IO18" s="383"/>
      <c r="IP18" s="383"/>
      <c r="IQ18" s="383"/>
      <c r="IR18" s="383"/>
      <c r="IS18" s="383"/>
      <c r="IT18" s="383"/>
      <c r="IU18" s="383"/>
      <c r="IV18" s="383"/>
      <c r="IW18" s="383"/>
    </row>
    <row r="19" customFormat="false" ht="13.5" hidden="false" customHeight="false" outlineLevel="0" collapsed="false">
      <c r="A19" s="261" t="s">
        <v>206</v>
      </c>
      <c r="B19" s="384" t="n">
        <f aca="false">YEAR(MIN(Assumptions!B48,Assumptions!C48,Assumptions!D48))</f>
        <v>2001</v>
      </c>
      <c r="C19" s="384" t="n">
        <f aca="false">B19+1</f>
        <v>2002</v>
      </c>
      <c r="D19" s="384" t="n">
        <f aca="false">C19+1</f>
        <v>2003</v>
      </c>
      <c r="E19" s="384" t="n">
        <f aca="false">D19+1</f>
        <v>2004</v>
      </c>
      <c r="F19" s="384" t="n">
        <f aca="false">E19+1</f>
        <v>2005</v>
      </c>
      <c r="G19" s="384" t="n">
        <f aca="false">F19+1</f>
        <v>2006</v>
      </c>
      <c r="H19" s="384" t="n">
        <f aca="false">G19+1</f>
        <v>2007</v>
      </c>
      <c r="I19" s="384" t="n">
        <f aca="false">H19+1</f>
        <v>2008</v>
      </c>
      <c r="J19" s="384" t="n">
        <f aca="false">I19+1</f>
        <v>2009</v>
      </c>
      <c r="K19" s="384" t="n">
        <f aca="false">J19+1</f>
        <v>2010</v>
      </c>
      <c r="L19" s="384" t="n">
        <f aca="false">K19+1</f>
        <v>2011</v>
      </c>
      <c r="M19" s="384" t="n">
        <f aca="false">L19+1</f>
        <v>2012</v>
      </c>
      <c r="N19" s="384" t="n">
        <f aca="false">M19+1</f>
        <v>2013</v>
      </c>
      <c r="O19" s="384" t="n">
        <f aca="false">N19+1</f>
        <v>2014</v>
      </c>
      <c r="P19" s="384" t="n">
        <f aca="false">O19+1</f>
        <v>2015</v>
      </c>
      <c r="Q19" s="384" t="n">
        <f aca="false">P19+1</f>
        <v>2016</v>
      </c>
      <c r="R19" s="384" t="n">
        <f aca="false">Q19+1</f>
        <v>2017</v>
      </c>
      <c r="S19" s="384" t="n">
        <f aca="false">R19+1</f>
        <v>2018</v>
      </c>
      <c r="T19" s="384" t="n">
        <f aca="false">S19+1</f>
        <v>2019</v>
      </c>
      <c r="U19" s="384" t="n">
        <f aca="false">T19+1</f>
        <v>2020</v>
      </c>
      <c r="V19" s="384" t="n">
        <f aca="false">U19+1</f>
        <v>2021</v>
      </c>
      <c r="W19" s="384" t="n">
        <f aca="false">V19+1</f>
        <v>2022</v>
      </c>
      <c r="X19" s="384" t="n">
        <f aca="false">W19+1</f>
        <v>2023</v>
      </c>
      <c r="Y19" s="384" t="n">
        <f aca="false">X19+1</f>
        <v>2024</v>
      </c>
      <c r="Z19" s="384" t="n">
        <f aca="false">Y19+1</f>
        <v>2025</v>
      </c>
      <c r="AA19" s="384" t="n">
        <f aca="false">Z19+1</f>
        <v>2026</v>
      </c>
      <c r="AB19" s="384" t="n">
        <f aca="false">AA19+1</f>
        <v>2027</v>
      </c>
      <c r="AC19" s="384" t="n">
        <f aca="false">AB19+1</f>
        <v>2028</v>
      </c>
      <c r="AD19" s="384" t="n">
        <f aca="false">AC19+1</f>
        <v>2029</v>
      </c>
      <c r="AE19" s="384" t="n">
        <f aca="false">AD19+1</f>
        <v>2030</v>
      </c>
      <c r="AF19" s="384" t="n">
        <f aca="false">AE19+1</f>
        <v>2031</v>
      </c>
      <c r="AG19" s="304"/>
      <c r="AH19" s="304"/>
    </row>
    <row r="20" customFormat="false" ht="12.75" hidden="false" customHeight="false" outlineLevel="0" collapsed="false">
      <c r="A20" s="385"/>
      <c r="B20" s="386" t="n">
        <v>36891</v>
      </c>
      <c r="C20" s="387" t="n">
        <v>37256</v>
      </c>
      <c r="D20" s="387" t="n">
        <v>37621</v>
      </c>
      <c r="E20" s="387" t="n">
        <v>37986</v>
      </c>
      <c r="F20" s="387" t="n">
        <v>38352</v>
      </c>
      <c r="G20" s="387" t="n">
        <v>38717</v>
      </c>
      <c r="H20" s="387" t="n">
        <v>39082</v>
      </c>
      <c r="I20" s="387" t="n">
        <v>39447</v>
      </c>
      <c r="J20" s="387" t="n">
        <v>39813</v>
      </c>
      <c r="K20" s="387" t="n">
        <v>40178</v>
      </c>
      <c r="L20" s="387" t="n">
        <v>40543</v>
      </c>
      <c r="M20" s="387" t="n">
        <v>40908</v>
      </c>
      <c r="N20" s="387" t="n">
        <v>41274</v>
      </c>
      <c r="O20" s="387" t="n">
        <v>41639</v>
      </c>
      <c r="P20" s="387" t="n">
        <v>42004</v>
      </c>
      <c r="Q20" s="387" t="n">
        <v>42369</v>
      </c>
      <c r="R20" s="387" t="n">
        <v>42735</v>
      </c>
      <c r="S20" s="387" t="n">
        <v>43100</v>
      </c>
      <c r="T20" s="387" t="n">
        <v>43465</v>
      </c>
      <c r="U20" s="387" t="n">
        <v>43830</v>
      </c>
      <c r="V20" s="387" t="n">
        <v>44196</v>
      </c>
      <c r="W20" s="387" t="n">
        <v>44561</v>
      </c>
      <c r="X20" s="387" t="n">
        <v>44926</v>
      </c>
      <c r="Y20" s="387" t="n">
        <v>45291</v>
      </c>
      <c r="Z20" s="387" t="n">
        <v>45657</v>
      </c>
      <c r="AA20" s="387" t="n">
        <v>46022</v>
      </c>
      <c r="AB20" s="387" t="n">
        <v>46387</v>
      </c>
      <c r="AC20" s="387" t="n">
        <v>46752</v>
      </c>
      <c r="AD20" s="387" t="n">
        <v>47118</v>
      </c>
      <c r="AE20" s="387" t="n">
        <v>47483</v>
      </c>
      <c r="AF20" s="387" t="n">
        <v>47848</v>
      </c>
      <c r="AG20" s="0"/>
      <c r="AH20" s="304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  <c r="AT20" s="388"/>
      <c r="AU20" s="388"/>
      <c r="AV20" s="388"/>
      <c r="AW20" s="388"/>
      <c r="AX20" s="388"/>
      <c r="AY20" s="388"/>
      <c r="AZ20" s="388"/>
      <c r="BA20" s="388"/>
      <c r="BB20" s="388"/>
      <c r="BC20" s="388"/>
      <c r="BD20" s="388"/>
      <c r="BE20" s="388"/>
      <c r="BF20" s="388"/>
      <c r="BG20" s="388"/>
      <c r="BH20" s="388"/>
      <c r="BI20" s="388"/>
      <c r="BJ20" s="388"/>
      <c r="BK20" s="388"/>
      <c r="BL20" s="388"/>
      <c r="BM20" s="388"/>
      <c r="BN20" s="388"/>
      <c r="BO20" s="388"/>
      <c r="BP20" s="388"/>
      <c r="BQ20" s="388"/>
      <c r="BR20" s="388"/>
      <c r="BS20" s="388"/>
      <c r="BT20" s="388"/>
      <c r="BU20" s="388"/>
      <c r="BV20" s="388"/>
      <c r="BW20" s="388"/>
      <c r="BX20" s="388"/>
      <c r="BY20" s="388"/>
      <c r="BZ20" s="388"/>
      <c r="CA20" s="388"/>
      <c r="CB20" s="388"/>
      <c r="CC20" s="388"/>
      <c r="CD20" s="388"/>
      <c r="CE20" s="388"/>
      <c r="CF20" s="388"/>
      <c r="CG20" s="388"/>
      <c r="CH20" s="388"/>
      <c r="CI20" s="388"/>
      <c r="CJ20" s="388"/>
      <c r="CK20" s="388"/>
      <c r="CL20" s="388"/>
      <c r="CM20" s="388"/>
      <c r="CN20" s="388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388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388"/>
      <c r="DY20" s="388"/>
      <c r="DZ20" s="388"/>
      <c r="EA20" s="388"/>
      <c r="EB20" s="388"/>
      <c r="EC20" s="388"/>
      <c r="ED20" s="388"/>
      <c r="EE20" s="388"/>
      <c r="EF20" s="388"/>
      <c r="EG20" s="388"/>
      <c r="EH20" s="388"/>
      <c r="EI20" s="388"/>
      <c r="EJ20" s="388"/>
      <c r="EK20" s="388"/>
      <c r="EL20" s="388"/>
      <c r="EM20" s="388"/>
      <c r="EN20" s="388"/>
      <c r="EO20" s="388"/>
      <c r="EP20" s="388"/>
      <c r="EQ20" s="388"/>
      <c r="ER20" s="388"/>
      <c r="ES20" s="388"/>
      <c r="ET20" s="388"/>
      <c r="EU20" s="388"/>
      <c r="EV20" s="388"/>
      <c r="EW20" s="388"/>
      <c r="EX20" s="388"/>
      <c r="EY20" s="388"/>
      <c r="EZ20" s="388"/>
      <c r="FA20" s="388"/>
      <c r="FB20" s="388"/>
      <c r="FC20" s="388"/>
      <c r="FD20" s="388"/>
      <c r="FE20" s="388"/>
      <c r="FF20" s="388"/>
      <c r="FG20" s="388"/>
      <c r="FH20" s="388"/>
      <c r="FI20" s="388"/>
      <c r="FJ20" s="388"/>
      <c r="FK20" s="388"/>
      <c r="FL20" s="388"/>
      <c r="FM20" s="388"/>
      <c r="FN20" s="388"/>
      <c r="FO20" s="388"/>
      <c r="FP20" s="388"/>
      <c r="FQ20" s="388"/>
      <c r="FR20" s="388"/>
      <c r="FS20" s="388"/>
      <c r="FT20" s="388"/>
      <c r="FU20" s="388"/>
      <c r="FV20" s="388"/>
      <c r="FW20" s="388"/>
      <c r="FX20" s="388"/>
      <c r="FY20" s="388"/>
      <c r="FZ20" s="388"/>
      <c r="GA20" s="388"/>
      <c r="GB20" s="388"/>
      <c r="GC20" s="388"/>
      <c r="GD20" s="388"/>
      <c r="GE20" s="388"/>
      <c r="GF20" s="388"/>
      <c r="GG20" s="388"/>
      <c r="GH20" s="388"/>
      <c r="GI20" s="388"/>
      <c r="GJ20" s="388"/>
      <c r="GK20" s="388"/>
      <c r="GL20" s="388"/>
      <c r="GM20" s="388"/>
      <c r="GN20" s="388"/>
      <c r="GO20" s="388"/>
      <c r="GP20" s="388"/>
      <c r="GQ20" s="388"/>
      <c r="GR20" s="388"/>
      <c r="GS20" s="388"/>
      <c r="GT20" s="388"/>
      <c r="GU20" s="388"/>
      <c r="GV20" s="388"/>
      <c r="GW20" s="388"/>
      <c r="GX20" s="388"/>
      <c r="GY20" s="388"/>
      <c r="GZ20" s="388"/>
      <c r="HA20" s="388"/>
      <c r="HB20" s="388"/>
      <c r="HC20" s="388"/>
      <c r="HD20" s="388"/>
      <c r="HE20" s="388"/>
      <c r="HF20" s="388"/>
      <c r="HG20" s="388"/>
      <c r="HH20" s="388"/>
      <c r="HI20" s="388"/>
      <c r="HJ20" s="388"/>
      <c r="HK20" s="388"/>
      <c r="HL20" s="388"/>
      <c r="HM20" s="388"/>
      <c r="HN20" s="388"/>
      <c r="HO20" s="388"/>
      <c r="HP20" s="388"/>
      <c r="HQ20" s="388"/>
      <c r="HR20" s="388"/>
      <c r="HS20" s="388"/>
      <c r="HT20" s="388"/>
      <c r="HU20" s="388"/>
      <c r="HV20" s="388"/>
      <c r="HW20" s="388"/>
      <c r="HX20" s="388"/>
      <c r="HY20" s="388"/>
      <c r="HZ20" s="388"/>
      <c r="IA20" s="388"/>
      <c r="IB20" s="388"/>
      <c r="IC20" s="388"/>
      <c r="ID20" s="388"/>
      <c r="IE20" s="388"/>
      <c r="IF20" s="388"/>
      <c r="IG20" s="388"/>
      <c r="IH20" s="388"/>
      <c r="II20" s="388"/>
      <c r="IJ20" s="388"/>
      <c r="IK20" s="388"/>
      <c r="IL20" s="388"/>
      <c r="IM20" s="388"/>
      <c r="IN20" s="388"/>
      <c r="IO20" s="388"/>
      <c r="IP20" s="388"/>
      <c r="IQ20" s="388"/>
      <c r="IR20" s="388"/>
      <c r="IS20" s="388"/>
      <c r="IT20" s="388"/>
      <c r="IU20" s="388"/>
      <c r="IV20" s="388"/>
      <c r="IW20" s="388"/>
    </row>
    <row r="21" customFormat="false" ht="12.75" hidden="false" customHeight="false" outlineLevel="0" collapsed="false"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</row>
    <row r="22" customFormat="false" ht="12.75" hidden="false" customHeight="false" outlineLevel="0" collapsed="false">
      <c r="A22" s="354" t="s">
        <v>320</v>
      </c>
      <c r="B22" s="389" t="n">
        <f aca="false">B102</f>
        <v>0.04</v>
      </c>
      <c r="C22" s="389" t="n">
        <f aca="false">C102</f>
        <v>0.04</v>
      </c>
      <c r="D22" s="389" t="n">
        <f aca="false">D102</f>
        <v>0.04</v>
      </c>
      <c r="E22" s="389" t="n">
        <f aca="false">E102</f>
        <v>0.04</v>
      </c>
      <c r="F22" s="389" t="n">
        <f aca="false">F102</f>
        <v>0.04</v>
      </c>
      <c r="G22" s="389" t="n">
        <f aca="false">G102</f>
        <v>0.04</v>
      </c>
      <c r="H22" s="389" t="n">
        <f aca="false">H102</f>
        <v>0.04</v>
      </c>
      <c r="I22" s="389" t="n">
        <f aca="false">I102</f>
        <v>0.04</v>
      </c>
      <c r="J22" s="389" t="n">
        <f aca="false">J102</f>
        <v>0.04</v>
      </c>
      <c r="K22" s="389" t="n">
        <f aca="false">K102</f>
        <v>0.04</v>
      </c>
      <c r="L22" s="389" t="n">
        <f aca="false">L102</f>
        <v>0.04</v>
      </c>
      <c r="M22" s="389" t="n">
        <f aca="false">M102</f>
        <v>0.04</v>
      </c>
      <c r="N22" s="389" t="n">
        <f aca="false">N102</f>
        <v>0.04</v>
      </c>
      <c r="O22" s="389" t="n">
        <f aca="false">O102</f>
        <v>0.04</v>
      </c>
      <c r="P22" s="389" t="n">
        <f aca="false">P102</f>
        <v>0.04</v>
      </c>
      <c r="Q22" s="389" t="n">
        <f aca="false">Q102</f>
        <v>0.04</v>
      </c>
      <c r="R22" s="389" t="n">
        <f aca="false">R102</f>
        <v>0.04</v>
      </c>
      <c r="S22" s="389" t="n">
        <f aca="false">S102</f>
        <v>0.04</v>
      </c>
      <c r="T22" s="389" t="n">
        <f aca="false">T102</f>
        <v>0.04</v>
      </c>
      <c r="U22" s="389" t="n">
        <f aca="false">U102</f>
        <v>0.04</v>
      </c>
      <c r="V22" s="389" t="n">
        <f aca="false">V102</f>
        <v>0.04</v>
      </c>
      <c r="W22" s="389" t="n">
        <f aca="false">W102</f>
        <v>0</v>
      </c>
      <c r="X22" s="389" t="n">
        <f aca="false">X102</f>
        <v>0</v>
      </c>
      <c r="Y22" s="389" t="n">
        <f aca="false">Y102</f>
        <v>0</v>
      </c>
      <c r="Z22" s="389" t="n">
        <f aca="false">Z102</f>
        <v>0</v>
      </c>
      <c r="AA22" s="389" t="n">
        <f aca="false">AA102</f>
        <v>0</v>
      </c>
      <c r="AB22" s="389" t="n">
        <f aca="false">AB102</f>
        <v>0</v>
      </c>
      <c r="AC22" s="389" t="n">
        <f aca="false">AC102</f>
        <v>0</v>
      </c>
      <c r="AD22" s="389" t="n">
        <f aca="false">AD102</f>
        <v>0</v>
      </c>
      <c r="AE22" s="389" t="n">
        <f aca="false">AE102</f>
        <v>0</v>
      </c>
      <c r="AF22" s="389" t="n">
        <f aca="false">AF102</f>
        <v>0</v>
      </c>
      <c r="AG22" s="390"/>
      <c r="AH22" s="390"/>
    </row>
    <row r="23" customFormat="false" ht="12.75" hidden="false" customHeight="false" outlineLevel="0" collapsed="false">
      <c r="A23" s="391" t="str">
        <f aca="false">IF(SUM(B22:W22)&lt;&gt;1,"CHECK!","")</f>
        <v>CHECK!</v>
      </c>
      <c r="B23" s="392"/>
      <c r="C23" s="392"/>
      <c r="D23" s="392"/>
      <c r="E23" s="392"/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  <c r="AC23" s="392"/>
      <c r="AD23" s="392"/>
      <c r="AE23" s="392"/>
      <c r="AF23" s="392"/>
    </row>
    <row r="24" customFormat="false" ht="12.75" hidden="false" customHeight="false" outlineLevel="0" collapsed="false">
      <c r="A24" s="354" t="s">
        <v>321</v>
      </c>
      <c r="B24" s="393" t="n">
        <f aca="false">B107</f>
        <v>0.1</v>
      </c>
      <c r="C24" s="393" t="n">
        <f aca="false">C107</f>
        <v>0.1</v>
      </c>
      <c r="D24" s="393" t="n">
        <f aca="false">D107</f>
        <v>0.1</v>
      </c>
      <c r="E24" s="393" t="n">
        <f aca="false">E107</f>
        <v>0.1</v>
      </c>
      <c r="F24" s="393" t="n">
        <f aca="false">F107</f>
        <v>0.1</v>
      </c>
      <c r="G24" s="393" t="n">
        <f aca="false">G107</f>
        <v>0.1</v>
      </c>
      <c r="H24" s="393" t="n">
        <f aca="false">H107</f>
        <v>0.1</v>
      </c>
      <c r="I24" s="393" t="n">
        <f aca="false">I107</f>
        <v>0.1</v>
      </c>
      <c r="J24" s="393" t="n">
        <f aca="false">J107</f>
        <v>0.1</v>
      </c>
      <c r="K24" s="393" t="n">
        <f aca="false">K107</f>
        <v>0.1</v>
      </c>
      <c r="L24" s="393" t="n">
        <f aca="false">L107</f>
        <v>0</v>
      </c>
      <c r="M24" s="393" t="n">
        <f aca="false">M107</f>
        <v>0</v>
      </c>
      <c r="N24" s="393" t="n">
        <f aca="false">N107</f>
        <v>0</v>
      </c>
      <c r="O24" s="393" t="n">
        <f aca="false">O107</f>
        <v>0</v>
      </c>
      <c r="P24" s="393" t="n">
        <f aca="false">P107</f>
        <v>0</v>
      </c>
      <c r="Q24" s="393" t="n">
        <f aca="false">Q107</f>
        <v>0</v>
      </c>
      <c r="R24" s="393" t="n">
        <f aca="false">R107</f>
        <v>0</v>
      </c>
      <c r="S24" s="393" t="n">
        <f aca="false">S107</f>
        <v>0</v>
      </c>
      <c r="T24" s="393" t="n">
        <f aca="false">T107</f>
        <v>0</v>
      </c>
      <c r="U24" s="393" t="n">
        <f aca="false">U107</f>
        <v>0</v>
      </c>
      <c r="V24" s="393" t="n">
        <f aca="false">V107</f>
        <v>0</v>
      </c>
      <c r="W24" s="393" t="n">
        <f aca="false">W107</f>
        <v>0</v>
      </c>
      <c r="X24" s="393" t="n">
        <f aca="false">X107</f>
        <v>0</v>
      </c>
      <c r="Y24" s="393" t="n">
        <f aca="false">Y107</f>
        <v>0</v>
      </c>
      <c r="Z24" s="393" t="n">
        <f aca="false">Z107</f>
        <v>0</v>
      </c>
      <c r="AA24" s="393" t="n">
        <f aca="false">AA107</f>
        <v>0</v>
      </c>
      <c r="AB24" s="393" t="n">
        <f aca="false">AB107</f>
        <v>0</v>
      </c>
      <c r="AC24" s="393" t="n">
        <f aca="false">AC107</f>
        <v>0</v>
      </c>
      <c r="AD24" s="393" t="n">
        <f aca="false">AD107</f>
        <v>0</v>
      </c>
      <c r="AE24" s="393" t="n">
        <f aca="false">AE107</f>
        <v>0</v>
      </c>
      <c r="AF24" s="393" t="n">
        <f aca="false">AF107</f>
        <v>0</v>
      </c>
    </row>
    <row r="25" customFormat="false" ht="12.75" hidden="false" customHeight="false" outlineLevel="0" collapsed="false">
      <c r="A25" s="391" t="str">
        <f aca="false">IF(SUM(B24:W24)&lt;&gt;1,"CHECK!","")</f>
        <v/>
      </c>
      <c r="B25" s="392"/>
      <c r="C25" s="392"/>
      <c r="D25" s="392"/>
      <c r="E25" s="392"/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2"/>
      <c r="AD25" s="392"/>
      <c r="AE25" s="392"/>
      <c r="AF25" s="392"/>
    </row>
    <row r="26" customFormat="false" ht="12.75" hidden="false" customHeight="false" outlineLevel="0" collapsed="false">
      <c r="A26" s="354" t="s">
        <v>322</v>
      </c>
      <c r="B26" s="393" t="n">
        <f aca="false">B112</f>
        <v>0.05</v>
      </c>
      <c r="C26" s="393" t="n">
        <f aca="false">C112</f>
        <v>0.05</v>
      </c>
      <c r="D26" s="393" t="n">
        <f aca="false">D112</f>
        <v>0.05</v>
      </c>
      <c r="E26" s="393" t="n">
        <f aca="false">E112</f>
        <v>0.05</v>
      </c>
      <c r="F26" s="393" t="n">
        <f aca="false">F112</f>
        <v>0.05</v>
      </c>
      <c r="G26" s="393" t="n">
        <f aca="false">G112</f>
        <v>0.05</v>
      </c>
      <c r="H26" s="393" t="n">
        <f aca="false">H112</f>
        <v>0.05</v>
      </c>
      <c r="I26" s="393" t="n">
        <f aca="false">I112</f>
        <v>0.05</v>
      </c>
      <c r="J26" s="393" t="n">
        <f aca="false">J112</f>
        <v>0.05</v>
      </c>
      <c r="K26" s="393" t="n">
        <f aca="false">K112</f>
        <v>0.05</v>
      </c>
      <c r="L26" s="393" t="n">
        <f aca="false">L112</f>
        <v>0.05</v>
      </c>
      <c r="M26" s="393" t="n">
        <f aca="false">M112</f>
        <v>0.05</v>
      </c>
      <c r="N26" s="393" t="n">
        <f aca="false">N112</f>
        <v>0.05</v>
      </c>
      <c r="O26" s="393" t="n">
        <f aca="false">O112</f>
        <v>0.05</v>
      </c>
      <c r="P26" s="393" t="n">
        <f aca="false">P112</f>
        <v>0.05</v>
      </c>
      <c r="Q26" s="393" t="n">
        <f aca="false">Q112</f>
        <v>0.05</v>
      </c>
      <c r="R26" s="393" t="n">
        <f aca="false">R112</f>
        <v>0.05</v>
      </c>
      <c r="S26" s="393" t="n">
        <f aca="false">S112</f>
        <v>0.05</v>
      </c>
      <c r="T26" s="393" t="n">
        <f aca="false">T112</f>
        <v>0.05</v>
      </c>
      <c r="U26" s="393" t="n">
        <f aca="false">U112</f>
        <v>0.05</v>
      </c>
      <c r="V26" s="393" t="n">
        <f aca="false">V112</f>
        <v>0</v>
      </c>
      <c r="W26" s="393" t="n">
        <f aca="false">W112</f>
        <v>0</v>
      </c>
      <c r="X26" s="393" t="n">
        <f aca="false">X112</f>
        <v>0</v>
      </c>
      <c r="Y26" s="393" t="n">
        <f aca="false">Y112</f>
        <v>0</v>
      </c>
      <c r="Z26" s="393" t="n">
        <f aca="false">Z112</f>
        <v>0</v>
      </c>
      <c r="AA26" s="393" t="n">
        <f aca="false">AA112</f>
        <v>0</v>
      </c>
      <c r="AB26" s="393" t="n">
        <f aca="false">AB112</f>
        <v>0</v>
      </c>
      <c r="AC26" s="393" t="n">
        <f aca="false">AC112</f>
        <v>0</v>
      </c>
      <c r="AD26" s="393" t="n">
        <f aca="false">AD112</f>
        <v>0</v>
      </c>
      <c r="AE26" s="393" t="n">
        <f aca="false">AE112</f>
        <v>0</v>
      </c>
      <c r="AF26" s="393" t="n">
        <f aca="false">AF112</f>
        <v>0</v>
      </c>
      <c r="AG26" s="80"/>
      <c r="AH26" s="80"/>
    </row>
    <row r="27" customFormat="false" ht="12.75" hidden="false" customHeight="false" outlineLevel="0" collapsed="false">
      <c r="A27" s="391" t="str">
        <f aca="false">IF(SUM(B26:W26)&lt;&gt;1,"CHECK!","")</f>
        <v/>
      </c>
      <c r="C27" s="394"/>
      <c r="D27" s="394"/>
      <c r="E27" s="394"/>
      <c r="F27" s="394"/>
      <c r="G27" s="394"/>
      <c r="H27" s="394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</row>
    <row r="28" customFormat="false" ht="12.75" hidden="false" customHeight="false" outlineLevel="0" collapsed="false">
      <c r="A28" s="391"/>
      <c r="B28" s="395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</row>
    <row r="29" customFormat="false" ht="12.75" hidden="false" customHeight="false" outlineLevel="0" collapsed="false">
      <c r="A29" s="396" t="str">
        <f aca="false">CONCATENATE("Tranche 1 @ ",F7*100,"%")</f>
        <v>Tranche 1 @ 7%</v>
      </c>
      <c r="C29" s="397"/>
      <c r="AA29" s="1"/>
      <c r="AB29" s="1"/>
    </row>
    <row r="30" customFormat="false" ht="12.75" hidden="false" customHeight="false" outlineLevel="0" collapsed="false">
      <c r="A30" s="398" t="s">
        <v>323</v>
      </c>
      <c r="B30" s="399"/>
      <c r="AA30" s="1"/>
      <c r="AB30" s="1"/>
    </row>
    <row r="31" customFormat="false" ht="12.75" hidden="false" customHeight="false" outlineLevel="0" collapsed="false">
      <c r="A31" s="399" t="s">
        <v>269</v>
      </c>
      <c r="B31" s="400" t="n">
        <f aca="false">F10</f>
        <v>110855.850382461</v>
      </c>
      <c r="C31" s="399" t="n">
        <f aca="false">B39</f>
        <v>106421.616367162</v>
      </c>
      <c r="D31" s="399" t="n">
        <f aca="false">C39</f>
        <v>101987.382351864</v>
      </c>
      <c r="E31" s="399" t="n">
        <f aca="false">D39</f>
        <v>97553.1483365652</v>
      </c>
      <c r="F31" s="399" t="n">
        <f aca="false">E39</f>
        <v>93118.9143212668</v>
      </c>
      <c r="G31" s="399" t="n">
        <f aca="false">F39</f>
        <v>88684.6803059684</v>
      </c>
      <c r="H31" s="399" t="n">
        <f aca="false">G39</f>
        <v>84250.44629067</v>
      </c>
      <c r="I31" s="399" t="n">
        <f aca="false">H39</f>
        <v>79816.2122753715</v>
      </c>
      <c r="J31" s="399" t="n">
        <f aca="false">I39</f>
        <v>75381.9782600731</v>
      </c>
      <c r="K31" s="399" t="n">
        <f aca="false">J39</f>
        <v>70947.7442447747</v>
      </c>
      <c r="L31" s="399" t="n">
        <f aca="false">K39</f>
        <v>66513.5102294763</v>
      </c>
      <c r="M31" s="399" t="n">
        <f aca="false">L39</f>
        <v>62079.2762141778</v>
      </c>
      <c r="N31" s="399" t="n">
        <f aca="false">M39</f>
        <v>57645.0421988794</v>
      </c>
      <c r="O31" s="399" t="n">
        <f aca="false">N39</f>
        <v>53210.808183581</v>
      </c>
      <c r="P31" s="399" t="n">
        <f aca="false">O39</f>
        <v>48776.5741682826</v>
      </c>
      <c r="Q31" s="399" t="n">
        <f aca="false">P39</f>
        <v>44342.3401529841</v>
      </c>
      <c r="R31" s="399" t="n">
        <f aca="false">Q39</f>
        <v>39908.1061376857</v>
      </c>
      <c r="S31" s="399" t="n">
        <f aca="false">R39</f>
        <v>35473.8721223873</v>
      </c>
      <c r="T31" s="399" t="n">
        <f aca="false">S39</f>
        <v>31039.6381070889</v>
      </c>
      <c r="U31" s="399" t="n">
        <f aca="false">T39</f>
        <v>26605.4040917904</v>
      </c>
      <c r="V31" s="399" t="n">
        <f aca="false">U39</f>
        <v>22171.170076492</v>
      </c>
      <c r="W31" s="399" t="n">
        <f aca="false">V39</f>
        <v>17736.9360611936</v>
      </c>
      <c r="X31" s="399" t="n">
        <f aca="false">W39</f>
        <v>17736.9360611936</v>
      </c>
      <c r="Y31" s="399" t="n">
        <f aca="false">X39</f>
        <v>17736.9360611936</v>
      </c>
      <c r="Z31" s="399" t="n">
        <f aca="false">Y39</f>
        <v>17736.9360611936</v>
      </c>
      <c r="AA31" s="399" t="n">
        <f aca="false">Z39</f>
        <v>17736.9360611936</v>
      </c>
      <c r="AB31" s="399" t="n">
        <f aca="false">AA39</f>
        <v>17736.9360611936</v>
      </c>
      <c r="AC31" s="399" t="n">
        <f aca="false">AB39</f>
        <v>17736.9360611936</v>
      </c>
      <c r="AD31" s="399" t="n">
        <f aca="false">AC39</f>
        <v>17736.9360611936</v>
      </c>
      <c r="AE31" s="399" t="n">
        <f aca="false">AD39</f>
        <v>17736.9360611936</v>
      </c>
      <c r="AF31" s="399" t="n">
        <f aca="false">AE39</f>
        <v>17736.9360611936</v>
      </c>
      <c r="AG31" s="399"/>
      <c r="AH31" s="399"/>
    </row>
    <row r="32" customFormat="false" ht="12.75" hidden="false" customHeight="false" outlineLevel="0" collapsed="false">
      <c r="A32" s="399" t="s">
        <v>324</v>
      </c>
      <c r="B32" s="399" t="n">
        <v>0</v>
      </c>
      <c r="C32" s="399" t="n">
        <f aca="false">$B$31*C22/2</f>
        <v>2217.11700764921</v>
      </c>
      <c r="D32" s="399" t="n">
        <f aca="false">$B$31*D22/2</f>
        <v>2217.11700764921</v>
      </c>
      <c r="E32" s="399" t="n">
        <f aca="false">$B$31*E22/2</f>
        <v>2217.11700764921</v>
      </c>
      <c r="F32" s="399" t="n">
        <f aca="false">$B$31*F22/2</f>
        <v>2217.11700764921</v>
      </c>
      <c r="G32" s="399" t="n">
        <f aca="false">$B$31*G22/2</f>
        <v>2217.11700764921</v>
      </c>
      <c r="H32" s="399" t="n">
        <f aca="false">$B$31*H22/2</f>
        <v>2217.11700764921</v>
      </c>
      <c r="I32" s="399" t="n">
        <f aca="false">$B$31*I22/2</f>
        <v>2217.11700764921</v>
      </c>
      <c r="J32" s="399" t="n">
        <f aca="false">$B$31*J22/2</f>
        <v>2217.11700764921</v>
      </c>
      <c r="K32" s="399" t="n">
        <f aca="false">$B$31*K22/2</f>
        <v>2217.11700764921</v>
      </c>
      <c r="L32" s="399" t="n">
        <f aca="false">$B$31*L22/2</f>
        <v>2217.11700764921</v>
      </c>
      <c r="M32" s="399" t="n">
        <f aca="false">$B$31*M22/2</f>
        <v>2217.11700764921</v>
      </c>
      <c r="N32" s="399" t="n">
        <f aca="false">$B$31*N22/2</f>
        <v>2217.11700764921</v>
      </c>
      <c r="O32" s="399" t="n">
        <f aca="false">$B$31*O22/2</f>
        <v>2217.11700764921</v>
      </c>
      <c r="P32" s="399" t="n">
        <f aca="false">$B$31*P22/2</f>
        <v>2217.11700764921</v>
      </c>
      <c r="Q32" s="399" t="n">
        <f aca="false">$B$31*Q22/2</f>
        <v>2217.11700764921</v>
      </c>
      <c r="R32" s="399" t="n">
        <f aca="false">$B$31*R22/2</f>
        <v>2217.11700764921</v>
      </c>
      <c r="S32" s="399" t="n">
        <f aca="false">$B$31*S22/2</f>
        <v>2217.11700764921</v>
      </c>
      <c r="T32" s="399" t="n">
        <f aca="false">$B$31*T22/2</f>
        <v>2217.11700764921</v>
      </c>
      <c r="U32" s="399" t="n">
        <f aca="false">$B$31*U22/2</f>
        <v>2217.11700764921</v>
      </c>
      <c r="V32" s="399" t="n">
        <f aca="false">$B$31*V22/2</f>
        <v>2217.11700764921</v>
      </c>
      <c r="W32" s="399" t="n">
        <f aca="false">$B$31*W22/2</f>
        <v>0</v>
      </c>
      <c r="X32" s="399" t="n">
        <f aca="false">$B$31*X22/2</f>
        <v>0</v>
      </c>
      <c r="Y32" s="399" t="n">
        <f aca="false">$B$31*Y22/2</f>
        <v>0</v>
      </c>
      <c r="Z32" s="399" t="n">
        <f aca="false">$B$31*Z22/2</f>
        <v>0</v>
      </c>
      <c r="AA32" s="399" t="n">
        <f aca="false">$B$31*AA22/2</f>
        <v>0</v>
      </c>
      <c r="AB32" s="399" t="n">
        <f aca="false">$B$31*AB22/2</f>
        <v>0</v>
      </c>
      <c r="AC32" s="399" t="n">
        <f aca="false">$B$31*AC22/2</f>
        <v>0</v>
      </c>
      <c r="AD32" s="399" t="n">
        <f aca="false">$B$31*AD22/2</f>
        <v>0</v>
      </c>
      <c r="AE32" s="399" t="n">
        <f aca="false">$B$31*AE22/2</f>
        <v>0</v>
      </c>
      <c r="AF32" s="399" t="n">
        <f aca="false">$B$31*AF22/2</f>
        <v>0</v>
      </c>
      <c r="AG32" s="399"/>
      <c r="AH32" s="399"/>
    </row>
    <row r="33" customFormat="false" ht="12.75" hidden="false" customHeight="false" outlineLevel="0" collapsed="false">
      <c r="A33" s="399" t="s">
        <v>325</v>
      </c>
      <c r="B33" s="401" t="n">
        <v>0</v>
      </c>
      <c r="C33" s="399" t="n">
        <f aca="false">C31*$F$7/2</f>
        <v>3724.75657285067</v>
      </c>
      <c r="D33" s="399" t="n">
        <f aca="false">D31*$F$7/2</f>
        <v>3569.55838231523</v>
      </c>
      <c r="E33" s="399" t="n">
        <f aca="false">E31*$F$7/2</f>
        <v>3414.36019177978</v>
      </c>
      <c r="F33" s="399" t="n">
        <f aca="false">F31*$F$7/2</f>
        <v>3259.16200124434</v>
      </c>
      <c r="G33" s="399" t="n">
        <f aca="false">G31*$F$7/2</f>
        <v>3103.96381070889</v>
      </c>
      <c r="H33" s="399" t="n">
        <f aca="false">H31*$F$7/2</f>
        <v>2948.76562017345</v>
      </c>
      <c r="I33" s="399" t="n">
        <f aca="false">I31*$F$7/2</f>
        <v>2793.567429638</v>
      </c>
      <c r="J33" s="399" t="n">
        <f aca="false">J31*$F$7/2</f>
        <v>2638.36923910256</v>
      </c>
      <c r="K33" s="399" t="n">
        <f aca="false">K31*$F$7/2</f>
        <v>2483.17104856711</v>
      </c>
      <c r="L33" s="399" t="n">
        <f aca="false">L31*$F$7/2</f>
        <v>2327.97285803167</v>
      </c>
      <c r="M33" s="399" t="n">
        <f aca="false">M31*$F$7/2</f>
        <v>2172.77466749622</v>
      </c>
      <c r="N33" s="399" t="n">
        <f aca="false">N31*$F$7/2</f>
        <v>2017.57647696078</v>
      </c>
      <c r="O33" s="399" t="n">
        <f aca="false">O31*$F$7/2</f>
        <v>1862.37828642533</v>
      </c>
      <c r="P33" s="399" t="n">
        <f aca="false">P31*$F$7/2</f>
        <v>1707.18009588989</v>
      </c>
      <c r="Q33" s="399" t="n">
        <f aca="false">Q31*$F$7/2</f>
        <v>1551.98190535444</v>
      </c>
      <c r="R33" s="399" t="n">
        <f aca="false">R31*$F$7/2</f>
        <v>1396.783714819</v>
      </c>
      <c r="S33" s="399" t="n">
        <f aca="false">S31*$F$7/2</f>
        <v>1241.58552428355</v>
      </c>
      <c r="T33" s="399" t="n">
        <f aca="false">T31*$F$7/2</f>
        <v>1086.38733374811</v>
      </c>
      <c r="U33" s="399" t="n">
        <f aca="false">U31*$F$7/2</f>
        <v>931.189143212665</v>
      </c>
      <c r="V33" s="399" t="n">
        <f aca="false">V31*$F$7/2</f>
        <v>775.990952677221</v>
      </c>
      <c r="W33" s="399" t="n">
        <f aca="false">W31*$F$7/2</f>
        <v>620.792762141776</v>
      </c>
      <c r="X33" s="399" t="n">
        <f aca="false">X31*$F$7/2</f>
        <v>620.792762141776</v>
      </c>
      <c r="Y33" s="399" t="n">
        <f aca="false">Y31*$F$7/2</f>
        <v>620.792762141776</v>
      </c>
      <c r="Z33" s="399" t="n">
        <f aca="false">Z31*$F$7/2</f>
        <v>620.792762141776</v>
      </c>
      <c r="AA33" s="399" t="n">
        <f aca="false">AA31*$F$7/2</f>
        <v>620.792762141776</v>
      </c>
      <c r="AB33" s="399" t="n">
        <f aca="false">AB31*$F$7/2</f>
        <v>620.792762141776</v>
      </c>
      <c r="AC33" s="399" t="n">
        <f aca="false">AC31*$F$7/2</f>
        <v>620.792762141776</v>
      </c>
      <c r="AD33" s="399" t="n">
        <f aca="false">AD31*$F$7/2</f>
        <v>620.792762141776</v>
      </c>
      <c r="AE33" s="399" t="n">
        <f aca="false">AE31*$F$7/2</f>
        <v>620.792762141776</v>
      </c>
      <c r="AF33" s="399" t="n">
        <f aca="false">AF31*$F$7/2</f>
        <v>620.792762141776</v>
      </c>
      <c r="AG33" s="399"/>
      <c r="AH33" s="399"/>
    </row>
    <row r="34" customFormat="false" ht="12.75" hidden="false" customHeight="false" outlineLevel="0" collapsed="false">
      <c r="A34" s="399" t="s">
        <v>277</v>
      </c>
      <c r="B34" s="401" t="n">
        <f aca="false">B31-B32</f>
        <v>110855.850382461</v>
      </c>
      <c r="C34" s="399" t="n">
        <f aca="false">C31-C32</f>
        <v>104204.499359513</v>
      </c>
      <c r="D34" s="399" t="n">
        <f aca="false">D31-D32</f>
        <v>99770.2653442144</v>
      </c>
      <c r="E34" s="399" t="n">
        <f aca="false">E31-E32</f>
        <v>95336.031328916</v>
      </c>
      <c r="F34" s="399" t="n">
        <f aca="false">F31-F32</f>
        <v>90901.7973136176</v>
      </c>
      <c r="G34" s="399" t="n">
        <f aca="false">G31-G32</f>
        <v>86467.5632983192</v>
      </c>
      <c r="H34" s="399" t="n">
        <f aca="false">H31-H32</f>
        <v>82033.3292830207</v>
      </c>
      <c r="I34" s="399" t="n">
        <f aca="false">I31-I32</f>
        <v>77599.0952677223</v>
      </c>
      <c r="J34" s="399" t="n">
        <f aca="false">J31-J32</f>
        <v>73164.8612524239</v>
      </c>
      <c r="K34" s="399" t="n">
        <f aca="false">K31-K32</f>
        <v>68730.6272371255</v>
      </c>
      <c r="L34" s="399" t="n">
        <f aca="false">L31-L32</f>
        <v>64296.393221827</v>
      </c>
      <c r="M34" s="399" t="n">
        <f aca="false">M31-M32</f>
        <v>59862.1592065286</v>
      </c>
      <c r="N34" s="399" t="n">
        <f aca="false">N31-N32</f>
        <v>55427.9251912302</v>
      </c>
      <c r="O34" s="399" t="n">
        <f aca="false">O31-O32</f>
        <v>50993.6911759318</v>
      </c>
      <c r="P34" s="399" t="n">
        <f aca="false">P31-P32</f>
        <v>46559.4571606333</v>
      </c>
      <c r="Q34" s="399" t="n">
        <f aca="false">Q31-Q32</f>
        <v>42125.2231453349</v>
      </c>
      <c r="R34" s="399" t="n">
        <f aca="false">R31-R32</f>
        <v>37690.9891300365</v>
      </c>
      <c r="S34" s="399" t="n">
        <f aca="false">S31-S32</f>
        <v>33256.7551147381</v>
      </c>
      <c r="T34" s="399" t="n">
        <f aca="false">T31-T32</f>
        <v>28822.5210994396</v>
      </c>
      <c r="U34" s="399" t="n">
        <f aca="false">U31-U32</f>
        <v>24388.2870841412</v>
      </c>
      <c r="V34" s="399" t="n">
        <f aca="false">V31-V32</f>
        <v>19954.0530688428</v>
      </c>
      <c r="W34" s="399" t="n">
        <f aca="false">W31-W32</f>
        <v>17736.9360611936</v>
      </c>
      <c r="X34" s="399" t="n">
        <f aca="false">X31-X32</f>
        <v>17736.9360611936</v>
      </c>
      <c r="Y34" s="399" t="n">
        <f aca="false">Y31-Y32</f>
        <v>17736.9360611936</v>
      </c>
      <c r="Z34" s="399" t="n">
        <f aca="false">Z31-Z32</f>
        <v>17736.9360611936</v>
      </c>
      <c r="AA34" s="399" t="n">
        <f aca="false">AA31-AA32</f>
        <v>17736.9360611936</v>
      </c>
      <c r="AB34" s="399" t="n">
        <f aca="false">AB31-AB32</f>
        <v>17736.9360611936</v>
      </c>
      <c r="AC34" s="399" t="n">
        <f aca="false">AC31-AC32</f>
        <v>17736.9360611936</v>
      </c>
      <c r="AD34" s="399" t="n">
        <f aca="false">AD31-AD32</f>
        <v>17736.9360611936</v>
      </c>
      <c r="AE34" s="399" t="n">
        <f aca="false">AE31-AE32</f>
        <v>17736.9360611936</v>
      </c>
      <c r="AF34" s="399" t="n">
        <f aca="false">AF31-AF32</f>
        <v>17736.9360611936</v>
      </c>
      <c r="AG34" s="399"/>
      <c r="AH34" s="399"/>
    </row>
    <row r="35" customFormat="false" ht="12.75" hidden="false" customHeight="false" outlineLevel="0" collapsed="false">
      <c r="A35" s="398" t="s">
        <v>326</v>
      </c>
      <c r="B35" s="401"/>
      <c r="C35" s="399"/>
      <c r="D35" s="399"/>
      <c r="E35" s="399"/>
      <c r="F35" s="399"/>
      <c r="G35" s="399"/>
      <c r="H35" s="399"/>
      <c r="I35" s="399"/>
      <c r="J35" s="399"/>
      <c r="K35" s="399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</row>
    <row r="36" customFormat="false" ht="12.75" hidden="false" customHeight="false" outlineLevel="0" collapsed="false">
      <c r="A36" s="399" t="s">
        <v>269</v>
      </c>
      <c r="B36" s="401" t="n">
        <f aca="false">B34</f>
        <v>110855.850382461</v>
      </c>
      <c r="C36" s="399" t="n">
        <f aca="false">C34</f>
        <v>104204.499359513</v>
      </c>
      <c r="D36" s="399" t="n">
        <f aca="false">D34</f>
        <v>99770.2653442144</v>
      </c>
      <c r="E36" s="399" t="n">
        <f aca="false">E34</f>
        <v>95336.031328916</v>
      </c>
      <c r="F36" s="399" t="n">
        <f aca="false">F34</f>
        <v>90901.7973136176</v>
      </c>
      <c r="G36" s="399" t="n">
        <f aca="false">G34</f>
        <v>86467.5632983192</v>
      </c>
      <c r="H36" s="399" t="n">
        <f aca="false">H34</f>
        <v>82033.3292830207</v>
      </c>
      <c r="I36" s="399" t="n">
        <f aca="false">I34</f>
        <v>77599.0952677223</v>
      </c>
      <c r="J36" s="399" t="n">
        <f aca="false">J34</f>
        <v>73164.8612524239</v>
      </c>
      <c r="K36" s="399" t="n">
        <f aca="false">K34</f>
        <v>68730.6272371255</v>
      </c>
      <c r="L36" s="399" t="n">
        <f aca="false">L34</f>
        <v>64296.393221827</v>
      </c>
      <c r="M36" s="399" t="n">
        <f aca="false">M34</f>
        <v>59862.1592065286</v>
      </c>
      <c r="N36" s="399" t="n">
        <f aca="false">N34</f>
        <v>55427.9251912302</v>
      </c>
      <c r="O36" s="399" t="n">
        <f aca="false">O34</f>
        <v>50993.6911759318</v>
      </c>
      <c r="P36" s="399" t="n">
        <f aca="false">P34</f>
        <v>46559.4571606333</v>
      </c>
      <c r="Q36" s="399" t="n">
        <f aca="false">Q34</f>
        <v>42125.2231453349</v>
      </c>
      <c r="R36" s="399" t="n">
        <f aca="false">R34</f>
        <v>37690.9891300365</v>
      </c>
      <c r="S36" s="399" t="n">
        <f aca="false">S34</f>
        <v>33256.7551147381</v>
      </c>
      <c r="T36" s="399" t="n">
        <f aca="false">T34</f>
        <v>28822.5210994396</v>
      </c>
      <c r="U36" s="399" t="n">
        <f aca="false">U34</f>
        <v>24388.2870841412</v>
      </c>
      <c r="V36" s="399" t="n">
        <f aca="false">V34</f>
        <v>19954.0530688428</v>
      </c>
      <c r="W36" s="399" t="n">
        <f aca="false">W34</f>
        <v>17736.9360611936</v>
      </c>
      <c r="X36" s="399" t="n">
        <f aca="false">X34</f>
        <v>17736.9360611936</v>
      </c>
      <c r="Y36" s="399" t="n">
        <f aca="false">Y34</f>
        <v>17736.9360611936</v>
      </c>
      <c r="Z36" s="399" t="n">
        <f aca="false">Z34</f>
        <v>17736.9360611936</v>
      </c>
      <c r="AA36" s="399" t="n">
        <f aca="false">AA34</f>
        <v>17736.9360611936</v>
      </c>
      <c r="AB36" s="399" t="n">
        <f aca="false">AB34</f>
        <v>17736.9360611936</v>
      </c>
      <c r="AC36" s="399" t="n">
        <f aca="false">AC34</f>
        <v>17736.9360611936</v>
      </c>
      <c r="AD36" s="399" t="n">
        <f aca="false">AD34</f>
        <v>17736.9360611936</v>
      </c>
      <c r="AE36" s="399" t="n">
        <f aca="false">AE34</f>
        <v>17736.9360611936</v>
      </c>
      <c r="AF36" s="399" t="n">
        <f aca="false">AF34</f>
        <v>17736.9360611936</v>
      </c>
      <c r="AG36" s="399"/>
      <c r="AH36" s="399"/>
    </row>
    <row r="37" customFormat="false" ht="12.75" hidden="false" customHeight="false" outlineLevel="0" collapsed="false">
      <c r="A37" s="399" t="s">
        <v>324</v>
      </c>
      <c r="B37" s="401" t="n">
        <f aca="false">$B$31*B22</f>
        <v>4434.23401529842</v>
      </c>
      <c r="C37" s="399" t="n">
        <f aca="false">$B$31*C22/2</f>
        <v>2217.11700764921</v>
      </c>
      <c r="D37" s="399" t="n">
        <f aca="false">$B$31*D22/2</f>
        <v>2217.11700764921</v>
      </c>
      <c r="E37" s="399" t="n">
        <f aca="false">$B$31*E22/2</f>
        <v>2217.11700764921</v>
      </c>
      <c r="F37" s="399" t="n">
        <f aca="false">$B$31*F22/2</f>
        <v>2217.11700764921</v>
      </c>
      <c r="G37" s="399" t="n">
        <f aca="false">$B$31*G22/2</f>
        <v>2217.11700764921</v>
      </c>
      <c r="H37" s="399" t="n">
        <f aca="false">$B$31*H22/2</f>
        <v>2217.11700764921</v>
      </c>
      <c r="I37" s="399" t="n">
        <f aca="false">$B$31*I22/2</f>
        <v>2217.11700764921</v>
      </c>
      <c r="J37" s="399" t="n">
        <f aca="false">$B$31*J22/2</f>
        <v>2217.11700764921</v>
      </c>
      <c r="K37" s="399" t="n">
        <f aca="false">$B$31*K22/2</f>
        <v>2217.11700764921</v>
      </c>
      <c r="L37" s="399" t="n">
        <f aca="false">$B$31*L22/2</f>
        <v>2217.11700764921</v>
      </c>
      <c r="M37" s="399" t="n">
        <f aca="false">$B$31*M22/2</f>
        <v>2217.11700764921</v>
      </c>
      <c r="N37" s="399" t="n">
        <f aca="false">$B$31*N22/2</f>
        <v>2217.11700764921</v>
      </c>
      <c r="O37" s="399" t="n">
        <f aca="false">$B$31*O22/2</f>
        <v>2217.11700764921</v>
      </c>
      <c r="P37" s="399" t="n">
        <f aca="false">$B$31*P22/2</f>
        <v>2217.11700764921</v>
      </c>
      <c r="Q37" s="399" t="n">
        <f aca="false">$B$31*Q22/2</f>
        <v>2217.11700764921</v>
      </c>
      <c r="R37" s="399" t="n">
        <f aca="false">$B$31*R22/2</f>
        <v>2217.11700764921</v>
      </c>
      <c r="S37" s="399" t="n">
        <f aca="false">$B$31*S22/2</f>
        <v>2217.11700764921</v>
      </c>
      <c r="T37" s="399" t="n">
        <f aca="false">$B$31*T22/2</f>
        <v>2217.11700764921</v>
      </c>
      <c r="U37" s="399" t="n">
        <f aca="false">$B$31*U22/2</f>
        <v>2217.11700764921</v>
      </c>
      <c r="V37" s="399" t="n">
        <f aca="false">$B$31*V22/2</f>
        <v>2217.11700764921</v>
      </c>
      <c r="W37" s="399" t="n">
        <f aca="false">$B$31*W22/2</f>
        <v>0</v>
      </c>
      <c r="X37" s="399" t="n">
        <f aca="false">$B$31*X22/2</f>
        <v>0</v>
      </c>
      <c r="Y37" s="399" t="n">
        <f aca="false">$B$31*Y22/2</f>
        <v>0</v>
      </c>
      <c r="Z37" s="399" t="n">
        <f aca="false">$B$31*Z22/2</f>
        <v>0</v>
      </c>
      <c r="AA37" s="399" t="n">
        <f aca="false">$B$31*AA22/2</f>
        <v>0</v>
      </c>
      <c r="AB37" s="399" t="n">
        <f aca="false">$B$31*AB22/2</f>
        <v>0</v>
      </c>
      <c r="AC37" s="399" t="n">
        <f aca="false">$B$31*AC22/2</f>
        <v>0</v>
      </c>
      <c r="AD37" s="399" t="n">
        <f aca="false">$B$31*AD22/2</f>
        <v>0</v>
      </c>
      <c r="AE37" s="399" t="n">
        <f aca="false">$B$31*AE22/2</f>
        <v>0</v>
      </c>
      <c r="AF37" s="399" t="n">
        <f aca="false">$B$31*AF22/2</f>
        <v>0</v>
      </c>
      <c r="AG37" s="399"/>
      <c r="AH37" s="399"/>
    </row>
    <row r="38" customFormat="false" ht="12.75" hidden="false" customHeight="false" outlineLevel="0" collapsed="false">
      <c r="A38" s="399" t="s">
        <v>325</v>
      </c>
      <c r="B38" s="401" t="n">
        <f aca="false">B36*$F$7/2</f>
        <v>3879.95476338612</v>
      </c>
      <c r="C38" s="401" t="n">
        <f aca="false">C36*$F$7/2</f>
        <v>3647.15747758295</v>
      </c>
      <c r="D38" s="401" t="n">
        <f aca="false">D36*$F$7/2</f>
        <v>3491.95928704751</v>
      </c>
      <c r="E38" s="401" t="n">
        <f aca="false">E36*$F$7/2</f>
        <v>3336.76109651206</v>
      </c>
      <c r="F38" s="401" t="n">
        <f aca="false">F36*$F$7/2</f>
        <v>3181.56290597662</v>
      </c>
      <c r="G38" s="401" t="n">
        <f aca="false">G36*$F$7/2</f>
        <v>3026.36471544117</v>
      </c>
      <c r="H38" s="401" t="n">
        <f aca="false">H36*$F$7/2</f>
        <v>2871.16652490573</v>
      </c>
      <c r="I38" s="401" t="n">
        <f aca="false">I36*$F$7/2</f>
        <v>2715.96833437028</v>
      </c>
      <c r="J38" s="401" t="n">
        <f aca="false">J36*$F$7/2</f>
        <v>2560.77014383484</v>
      </c>
      <c r="K38" s="401" t="n">
        <f aca="false">K36*$F$7/2</f>
        <v>2405.57195329939</v>
      </c>
      <c r="L38" s="401" t="n">
        <f aca="false">L36*$F$7/2</f>
        <v>2250.37376276395</v>
      </c>
      <c r="M38" s="401" t="n">
        <f aca="false">M36*$F$7/2</f>
        <v>2095.1755722285</v>
      </c>
      <c r="N38" s="401" t="n">
        <f aca="false">N36*$F$7/2</f>
        <v>1939.97738169306</v>
      </c>
      <c r="O38" s="401" t="n">
        <f aca="false">O36*$F$7/2</f>
        <v>1784.77919115761</v>
      </c>
      <c r="P38" s="401" t="n">
        <f aca="false">P36*$F$7/2</f>
        <v>1629.58100062217</v>
      </c>
      <c r="Q38" s="401" t="n">
        <f aca="false">Q36*$F$7/2</f>
        <v>1474.38281008672</v>
      </c>
      <c r="R38" s="401" t="n">
        <f aca="false">R36*$F$7/2</f>
        <v>1319.18461955128</v>
      </c>
      <c r="S38" s="401" t="n">
        <f aca="false">S36*$F$7/2</f>
        <v>1163.98642901583</v>
      </c>
      <c r="T38" s="401" t="n">
        <f aca="false">T36*$F$7/2</f>
        <v>1008.78823848039</v>
      </c>
      <c r="U38" s="401" t="n">
        <f aca="false">U36*$F$7/2</f>
        <v>853.590047944943</v>
      </c>
      <c r="V38" s="401" t="n">
        <f aca="false">V36*$F$7/2</f>
        <v>698.391857409498</v>
      </c>
      <c r="W38" s="401" t="n">
        <f aca="false">W36*$F$7/2</f>
        <v>620.792762141776</v>
      </c>
      <c r="X38" s="401" t="n">
        <f aca="false">X36*$F$7/2</f>
        <v>620.792762141776</v>
      </c>
      <c r="Y38" s="401" t="n">
        <f aca="false">Y36*$F$7/2</f>
        <v>620.792762141776</v>
      </c>
      <c r="Z38" s="401" t="n">
        <f aca="false">Z36*$F$7/2</f>
        <v>620.792762141776</v>
      </c>
      <c r="AA38" s="401" t="n">
        <f aca="false">AA36*$F$7/2</f>
        <v>620.792762141776</v>
      </c>
      <c r="AB38" s="401" t="n">
        <f aca="false">AB36*$F$7/2</f>
        <v>620.792762141776</v>
      </c>
      <c r="AC38" s="401" t="n">
        <f aca="false">AC36*$F$7/2</f>
        <v>620.792762141776</v>
      </c>
      <c r="AD38" s="401" t="n">
        <f aca="false">AD36*$F$7/2</f>
        <v>620.792762141776</v>
      </c>
      <c r="AE38" s="401" t="n">
        <f aca="false">AE36*$F$7/2</f>
        <v>620.792762141776</v>
      </c>
      <c r="AF38" s="401" t="n">
        <f aca="false">AF36*$F$7/2</f>
        <v>620.792762141776</v>
      </c>
      <c r="AG38" s="399"/>
      <c r="AH38" s="399"/>
    </row>
    <row r="39" customFormat="false" ht="12.75" hidden="false" customHeight="false" outlineLevel="0" collapsed="false">
      <c r="A39" s="399" t="s">
        <v>277</v>
      </c>
      <c r="B39" s="401" t="n">
        <f aca="false">B36-B37</f>
        <v>106421.616367162</v>
      </c>
      <c r="C39" s="399" t="n">
        <f aca="false">C36-C37</f>
        <v>101987.382351864</v>
      </c>
      <c r="D39" s="399" t="n">
        <f aca="false">D36-D37</f>
        <v>97553.1483365652</v>
      </c>
      <c r="E39" s="399" t="n">
        <f aca="false">E36-E37</f>
        <v>93118.9143212668</v>
      </c>
      <c r="F39" s="399" t="n">
        <f aca="false">F36-F37</f>
        <v>88684.6803059684</v>
      </c>
      <c r="G39" s="399" t="n">
        <f aca="false">G36-G37</f>
        <v>84250.44629067</v>
      </c>
      <c r="H39" s="399" t="n">
        <f aca="false">H36-H37</f>
        <v>79816.2122753715</v>
      </c>
      <c r="I39" s="399" t="n">
        <f aca="false">I36-I37</f>
        <v>75381.9782600731</v>
      </c>
      <c r="J39" s="399" t="n">
        <f aca="false">J36-J37</f>
        <v>70947.7442447747</v>
      </c>
      <c r="K39" s="399" t="n">
        <f aca="false">K36-K37</f>
        <v>66513.5102294763</v>
      </c>
      <c r="L39" s="399" t="n">
        <f aca="false">L36-L37</f>
        <v>62079.2762141778</v>
      </c>
      <c r="M39" s="399" t="n">
        <f aca="false">M36-M37</f>
        <v>57645.0421988794</v>
      </c>
      <c r="N39" s="399" t="n">
        <f aca="false">N36-N37</f>
        <v>53210.808183581</v>
      </c>
      <c r="O39" s="399" t="n">
        <f aca="false">O36-O37</f>
        <v>48776.5741682826</v>
      </c>
      <c r="P39" s="399" t="n">
        <f aca="false">P36-P37</f>
        <v>44342.3401529841</v>
      </c>
      <c r="Q39" s="399" t="n">
        <f aca="false">Q36-Q37</f>
        <v>39908.1061376857</v>
      </c>
      <c r="R39" s="399" t="n">
        <f aca="false">R36-R37</f>
        <v>35473.8721223873</v>
      </c>
      <c r="S39" s="399" t="n">
        <f aca="false">S36-S37</f>
        <v>31039.6381070889</v>
      </c>
      <c r="T39" s="399" t="n">
        <f aca="false">T36-T37</f>
        <v>26605.4040917904</v>
      </c>
      <c r="U39" s="399" t="n">
        <f aca="false">U36-U37</f>
        <v>22171.170076492</v>
      </c>
      <c r="V39" s="399" t="n">
        <f aca="false">V36-V37</f>
        <v>17736.9360611936</v>
      </c>
      <c r="W39" s="399" t="n">
        <f aca="false">W36-W37</f>
        <v>17736.9360611936</v>
      </c>
      <c r="X39" s="399" t="n">
        <f aca="false">X36-X37</f>
        <v>17736.9360611936</v>
      </c>
      <c r="Y39" s="399" t="n">
        <f aca="false">Y36-Y37</f>
        <v>17736.9360611936</v>
      </c>
      <c r="Z39" s="399" t="n">
        <f aca="false">Z36-Z37</f>
        <v>17736.9360611936</v>
      </c>
      <c r="AA39" s="399" t="n">
        <f aca="false">AA36-AA37</f>
        <v>17736.9360611936</v>
      </c>
      <c r="AB39" s="399" t="n">
        <f aca="false">AB36-AB37</f>
        <v>17736.9360611936</v>
      </c>
      <c r="AC39" s="399" t="n">
        <f aca="false">AC36-AC37</f>
        <v>17736.9360611936</v>
      </c>
      <c r="AD39" s="399" t="n">
        <f aca="false">AD36-AD37</f>
        <v>17736.9360611936</v>
      </c>
      <c r="AE39" s="399" t="n">
        <f aca="false">AE36-AE37</f>
        <v>17736.9360611936</v>
      </c>
      <c r="AF39" s="399" t="n">
        <f aca="false">AF36-AF37</f>
        <v>17736.9360611936</v>
      </c>
      <c r="AG39" s="399"/>
      <c r="AH39" s="399"/>
    </row>
    <row r="40" customFormat="false" ht="12.75" hidden="false" customHeight="false" outlineLevel="0" collapsed="false">
      <c r="A40" s="399"/>
      <c r="B40" s="401"/>
      <c r="C40" s="399"/>
      <c r="D40" s="399"/>
      <c r="E40" s="399"/>
      <c r="F40" s="399"/>
      <c r="G40" s="399"/>
      <c r="H40" s="399"/>
      <c r="I40" s="399"/>
      <c r="J40" s="399"/>
      <c r="K40" s="399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</row>
    <row r="41" customFormat="false" ht="12.75" hidden="false" customHeight="false" outlineLevel="0" collapsed="false">
      <c r="A41" s="402" t="s">
        <v>230</v>
      </c>
      <c r="B41" s="401" t="n">
        <f aca="false">B33+B38</f>
        <v>3879.95476338612</v>
      </c>
      <c r="C41" s="401" t="n">
        <f aca="false">C33+C38</f>
        <v>7371.91405043362</v>
      </c>
      <c r="D41" s="401" t="n">
        <f aca="false">D33+D38</f>
        <v>7061.51766936273</v>
      </c>
      <c r="E41" s="401" t="n">
        <f aca="false">E33+E38</f>
        <v>6751.12128829184</v>
      </c>
      <c r="F41" s="401" t="n">
        <f aca="false">F33+F38</f>
        <v>6440.72490722095</v>
      </c>
      <c r="G41" s="401" t="n">
        <f aca="false">G33+G38</f>
        <v>6130.32852615006</v>
      </c>
      <c r="H41" s="401" t="n">
        <f aca="false">H33+H38</f>
        <v>5819.93214507917</v>
      </c>
      <c r="I41" s="401" t="n">
        <f aca="false">I33+I38</f>
        <v>5509.53576400828</v>
      </c>
      <c r="J41" s="401" t="n">
        <f aca="false">J33+J38</f>
        <v>5199.1393829374</v>
      </c>
      <c r="K41" s="401" t="n">
        <f aca="false">K33+K38</f>
        <v>4888.74300186651</v>
      </c>
      <c r="L41" s="401" t="n">
        <f aca="false">L33+L38</f>
        <v>4578.34662079562</v>
      </c>
      <c r="M41" s="401" t="n">
        <f aca="false">M33+M38</f>
        <v>4267.95023972473</v>
      </c>
      <c r="N41" s="401" t="n">
        <f aca="false">N33+N38</f>
        <v>3957.55385865384</v>
      </c>
      <c r="O41" s="401" t="n">
        <f aca="false">O33+O38</f>
        <v>3647.15747758295</v>
      </c>
      <c r="P41" s="401" t="n">
        <f aca="false">P33+P38</f>
        <v>3336.76109651206</v>
      </c>
      <c r="Q41" s="401" t="n">
        <f aca="false">Q33+Q38</f>
        <v>3026.36471544117</v>
      </c>
      <c r="R41" s="401" t="n">
        <f aca="false">R33+R38</f>
        <v>2715.96833437028</v>
      </c>
      <c r="S41" s="401" t="n">
        <f aca="false">S33+S38</f>
        <v>2405.57195329939</v>
      </c>
      <c r="T41" s="401" t="n">
        <f aca="false">T33+T38</f>
        <v>2095.1755722285</v>
      </c>
      <c r="U41" s="401" t="n">
        <f aca="false">U33+U38</f>
        <v>1784.77919115761</v>
      </c>
      <c r="V41" s="401" t="n">
        <f aca="false">V33+V38</f>
        <v>1474.38281008672</v>
      </c>
      <c r="W41" s="401" t="n">
        <f aca="false">W33+W38</f>
        <v>1241.58552428355</v>
      </c>
      <c r="X41" s="401" t="n">
        <f aca="false">X33+X38</f>
        <v>1241.58552428355</v>
      </c>
      <c r="Y41" s="401" t="n">
        <f aca="false">Y33+Y38</f>
        <v>1241.58552428355</v>
      </c>
      <c r="Z41" s="401" t="n">
        <f aca="false">Z33+Z38</f>
        <v>1241.58552428355</v>
      </c>
      <c r="AA41" s="401" t="n">
        <f aca="false">AA33+AA38</f>
        <v>1241.58552428355</v>
      </c>
      <c r="AB41" s="401" t="n">
        <f aca="false">AB33+AB38</f>
        <v>1241.58552428355</v>
      </c>
      <c r="AC41" s="401" t="n">
        <f aca="false">AC33+AC38</f>
        <v>1241.58552428355</v>
      </c>
      <c r="AD41" s="401" t="n">
        <f aca="false">AD33+AD38</f>
        <v>1241.58552428355</v>
      </c>
      <c r="AE41" s="401" t="n">
        <f aca="false">AE33+AE38</f>
        <v>1241.58552428355</v>
      </c>
      <c r="AF41" s="401" t="n">
        <f aca="false">AF33+AF38</f>
        <v>1241.58552428355</v>
      </c>
      <c r="AG41" s="399"/>
      <c r="AH41" s="399"/>
    </row>
    <row r="42" customFormat="false" ht="12.75" hidden="false" customHeight="false" outlineLevel="0" collapsed="false">
      <c r="A42" s="402" t="s">
        <v>263</v>
      </c>
      <c r="B42" s="401" t="n">
        <f aca="false">B32+B37</f>
        <v>4434.23401529842</v>
      </c>
      <c r="C42" s="401" t="n">
        <f aca="false">C32+C37</f>
        <v>4434.23401529842</v>
      </c>
      <c r="D42" s="401" t="n">
        <f aca="false">D32+D37</f>
        <v>4434.23401529842</v>
      </c>
      <c r="E42" s="401" t="n">
        <f aca="false">E32+E37</f>
        <v>4434.23401529842</v>
      </c>
      <c r="F42" s="401" t="n">
        <f aca="false">F32+F37</f>
        <v>4434.23401529842</v>
      </c>
      <c r="G42" s="401" t="n">
        <f aca="false">G32+G37</f>
        <v>4434.23401529842</v>
      </c>
      <c r="H42" s="401" t="n">
        <f aca="false">H32+H37</f>
        <v>4434.23401529842</v>
      </c>
      <c r="I42" s="401" t="n">
        <f aca="false">I32+I37</f>
        <v>4434.23401529842</v>
      </c>
      <c r="J42" s="401" t="n">
        <f aca="false">J32+J37</f>
        <v>4434.23401529842</v>
      </c>
      <c r="K42" s="401" t="n">
        <f aca="false">K32+K37</f>
        <v>4434.23401529842</v>
      </c>
      <c r="L42" s="401" t="n">
        <f aca="false">L32+L37</f>
        <v>4434.23401529842</v>
      </c>
      <c r="M42" s="401" t="n">
        <f aca="false">M32+M37</f>
        <v>4434.23401529842</v>
      </c>
      <c r="N42" s="401" t="n">
        <f aca="false">N32+N37</f>
        <v>4434.23401529842</v>
      </c>
      <c r="O42" s="401" t="n">
        <f aca="false">O32+O37</f>
        <v>4434.23401529842</v>
      </c>
      <c r="P42" s="401" t="n">
        <f aca="false">P32+P37</f>
        <v>4434.23401529842</v>
      </c>
      <c r="Q42" s="401" t="n">
        <f aca="false">Q32+Q37</f>
        <v>4434.23401529842</v>
      </c>
      <c r="R42" s="401" t="n">
        <f aca="false">R32+R37</f>
        <v>4434.23401529842</v>
      </c>
      <c r="S42" s="401" t="n">
        <f aca="false">S32+S37</f>
        <v>4434.23401529842</v>
      </c>
      <c r="T42" s="401" t="n">
        <f aca="false">T32+T37</f>
        <v>4434.23401529842</v>
      </c>
      <c r="U42" s="401" t="n">
        <f aca="false">U32+U37</f>
        <v>4434.23401529842</v>
      </c>
      <c r="V42" s="401" t="n">
        <f aca="false">V32+V37</f>
        <v>4434.23401529842</v>
      </c>
      <c r="W42" s="401" t="n">
        <f aca="false">W32+W37</f>
        <v>0</v>
      </c>
      <c r="X42" s="401" t="n">
        <f aca="false">X32+X37</f>
        <v>0</v>
      </c>
      <c r="Y42" s="401" t="n">
        <f aca="false">Y32+Y37</f>
        <v>0</v>
      </c>
      <c r="Z42" s="401" t="n">
        <f aca="false">Z32+Z37</f>
        <v>0</v>
      </c>
      <c r="AA42" s="401" t="n">
        <f aca="false">AA32+AA37</f>
        <v>0</v>
      </c>
      <c r="AB42" s="401" t="n">
        <f aca="false">AB32+AB37</f>
        <v>0</v>
      </c>
      <c r="AC42" s="401" t="n">
        <f aca="false">AC32+AC37</f>
        <v>0</v>
      </c>
      <c r="AD42" s="401" t="n">
        <f aca="false">AD32+AD37</f>
        <v>0</v>
      </c>
      <c r="AE42" s="401" t="n">
        <f aca="false">AE32+AE37</f>
        <v>0</v>
      </c>
      <c r="AF42" s="401" t="n">
        <f aca="false">AF32+AF37</f>
        <v>0</v>
      </c>
    </row>
    <row r="43" customFormat="false" ht="12.75" hidden="false" customHeight="false" outlineLevel="0" collapsed="false">
      <c r="B43" s="39"/>
      <c r="AA43" s="1"/>
      <c r="AB43" s="1"/>
    </row>
    <row r="44" customFormat="false" ht="12.75" hidden="false" customHeight="false" outlineLevel="0" collapsed="false">
      <c r="B44" s="39"/>
      <c r="AA44" s="1"/>
      <c r="AB44" s="1"/>
    </row>
    <row r="45" customFormat="false" ht="12.75" hidden="false" customHeight="false" outlineLevel="0" collapsed="false">
      <c r="A45" s="396" t="str">
        <f aca="false">CONCATENATE("Tranche 2 @ ",L7*100,"%")</f>
        <v>Tranche 2 @ 8%</v>
      </c>
      <c r="B45" s="39"/>
      <c r="C45" s="397"/>
      <c r="AA45" s="1"/>
      <c r="AB45" s="1"/>
    </row>
    <row r="46" customFormat="false" ht="12.75" hidden="false" customHeight="false" outlineLevel="0" collapsed="false">
      <c r="A46" s="403" t="str">
        <f aca="false">A30</f>
        <v>Period 1</v>
      </c>
      <c r="B46" s="401"/>
      <c r="AA46" s="1"/>
      <c r="AB46" s="1"/>
    </row>
    <row r="47" customFormat="false" ht="12.75" hidden="false" customHeight="false" outlineLevel="0" collapsed="false">
      <c r="A47" s="399" t="s">
        <v>269</v>
      </c>
      <c r="B47" s="404" t="n">
        <f aca="false">L10</f>
        <v>0</v>
      </c>
      <c r="C47" s="399" t="n">
        <f aca="false">B55</f>
        <v>0</v>
      </c>
      <c r="D47" s="399" t="n">
        <f aca="false">C55</f>
        <v>0</v>
      </c>
      <c r="E47" s="399" t="n">
        <f aca="false">D55</f>
        <v>0</v>
      </c>
      <c r="F47" s="399" t="n">
        <f aca="false">E55</f>
        <v>0</v>
      </c>
      <c r="G47" s="399" t="n">
        <f aca="false">F55</f>
        <v>0</v>
      </c>
      <c r="H47" s="399" t="n">
        <f aca="false">G55</f>
        <v>0</v>
      </c>
      <c r="I47" s="399" t="n">
        <f aca="false">H55</f>
        <v>0</v>
      </c>
      <c r="J47" s="399" t="n">
        <f aca="false">I55</f>
        <v>0</v>
      </c>
      <c r="K47" s="399" t="n">
        <f aca="false">J55</f>
        <v>0</v>
      </c>
      <c r="L47" s="399" t="n">
        <f aca="false">K55</f>
        <v>0</v>
      </c>
      <c r="M47" s="399" t="n">
        <f aca="false">L55</f>
        <v>0</v>
      </c>
      <c r="N47" s="399" t="n">
        <f aca="false">M55</f>
        <v>0</v>
      </c>
      <c r="O47" s="399" t="n">
        <f aca="false">N55</f>
        <v>0</v>
      </c>
      <c r="P47" s="399" t="n">
        <f aca="false">O55</f>
        <v>0</v>
      </c>
      <c r="Q47" s="399" t="n">
        <f aca="false">P55</f>
        <v>0</v>
      </c>
      <c r="R47" s="399" t="n">
        <f aca="false">Q55</f>
        <v>0</v>
      </c>
      <c r="S47" s="399" t="n">
        <f aca="false">R55</f>
        <v>0</v>
      </c>
      <c r="T47" s="399" t="n">
        <f aca="false">S55</f>
        <v>0</v>
      </c>
      <c r="U47" s="399" t="n">
        <f aca="false">T55</f>
        <v>0</v>
      </c>
      <c r="V47" s="399" t="n">
        <f aca="false">U55</f>
        <v>0</v>
      </c>
      <c r="W47" s="399" t="n">
        <f aca="false">V55</f>
        <v>0</v>
      </c>
      <c r="X47" s="399" t="n">
        <f aca="false">W55</f>
        <v>0</v>
      </c>
      <c r="Y47" s="399" t="n">
        <f aca="false">X55</f>
        <v>0</v>
      </c>
      <c r="Z47" s="399" t="n">
        <f aca="false">Y55</f>
        <v>0</v>
      </c>
      <c r="AA47" s="399" t="n">
        <f aca="false">Z55</f>
        <v>0</v>
      </c>
      <c r="AB47" s="399" t="n">
        <f aca="false">AA55</f>
        <v>0</v>
      </c>
      <c r="AC47" s="399" t="n">
        <f aca="false">AB55</f>
        <v>0</v>
      </c>
      <c r="AD47" s="399" t="n">
        <f aca="false">AC55</f>
        <v>0</v>
      </c>
      <c r="AE47" s="399" t="n">
        <f aca="false">AD55</f>
        <v>0</v>
      </c>
      <c r="AF47" s="399" t="n">
        <f aca="false">AE55</f>
        <v>0</v>
      </c>
      <c r="AG47" s="399"/>
      <c r="AH47" s="182"/>
    </row>
    <row r="48" customFormat="false" ht="12.75" hidden="false" customHeight="false" outlineLevel="0" collapsed="false">
      <c r="A48" s="399" t="s">
        <v>324</v>
      </c>
      <c r="B48" s="401" t="n">
        <v>0</v>
      </c>
      <c r="C48" s="399" t="n">
        <f aca="false">$B$47*C24/2</f>
        <v>0</v>
      </c>
      <c r="D48" s="399" t="n">
        <f aca="false">$B$47*D24/2</f>
        <v>0</v>
      </c>
      <c r="E48" s="399" t="n">
        <f aca="false">$B$47*E24/2</f>
        <v>0</v>
      </c>
      <c r="F48" s="399" t="n">
        <f aca="false">$B$47*F24/2</f>
        <v>0</v>
      </c>
      <c r="G48" s="399" t="n">
        <f aca="false">$B$47*G24/2</f>
        <v>0</v>
      </c>
      <c r="H48" s="399" t="n">
        <f aca="false">$B$47*H24/2</f>
        <v>0</v>
      </c>
      <c r="I48" s="399" t="n">
        <f aca="false">$B$47*I24/2</f>
        <v>0</v>
      </c>
      <c r="J48" s="399" t="n">
        <f aca="false">$B$47*J24/2</f>
        <v>0</v>
      </c>
      <c r="K48" s="399" t="n">
        <f aca="false">$B$47*K24/2</f>
        <v>0</v>
      </c>
      <c r="L48" s="399" t="n">
        <f aca="false">$B$47*L24/2</f>
        <v>0</v>
      </c>
      <c r="M48" s="399" t="n">
        <f aca="false">$B$47*M24/2</f>
        <v>0</v>
      </c>
      <c r="N48" s="399" t="n">
        <f aca="false">$B$47*N24/2</f>
        <v>0</v>
      </c>
      <c r="O48" s="399" t="n">
        <f aca="false">$B$47*O24/2</f>
        <v>0</v>
      </c>
      <c r="P48" s="399" t="n">
        <f aca="false">$B$47*P24/2</f>
        <v>0</v>
      </c>
      <c r="Q48" s="399" t="n">
        <f aca="false">$B$47*Q24/2</f>
        <v>0</v>
      </c>
      <c r="R48" s="399" t="n">
        <f aca="false">$B$47*R24/2</f>
        <v>0</v>
      </c>
      <c r="S48" s="399" t="n">
        <f aca="false">$B$47*S24/2</f>
        <v>0</v>
      </c>
      <c r="T48" s="399" t="n">
        <f aca="false">$B$47*T24/2</f>
        <v>0</v>
      </c>
      <c r="U48" s="399" t="n">
        <f aca="false">$B$47*U24/2</f>
        <v>0</v>
      </c>
      <c r="V48" s="399" t="n">
        <f aca="false">$B$47*V24/2</f>
        <v>0</v>
      </c>
      <c r="W48" s="399" t="n">
        <f aca="false">$B$47*W24/2</f>
        <v>0</v>
      </c>
      <c r="X48" s="399" t="n">
        <f aca="false">$B$47*X24/2</f>
        <v>0</v>
      </c>
      <c r="Y48" s="399" t="n">
        <f aca="false">$B$47*Y24/2</f>
        <v>0</v>
      </c>
      <c r="Z48" s="399" t="n">
        <f aca="false">$B$47*Z24/2</f>
        <v>0</v>
      </c>
      <c r="AA48" s="399" t="n">
        <f aca="false">$B$47*AA24/2</f>
        <v>0</v>
      </c>
      <c r="AB48" s="399" t="n">
        <f aca="false">$B$47*AB24/2</f>
        <v>0</v>
      </c>
      <c r="AC48" s="399" t="n">
        <f aca="false">$B$47*AC24/2</f>
        <v>0</v>
      </c>
      <c r="AD48" s="399" t="n">
        <f aca="false">$B$47*AD24/2</f>
        <v>0</v>
      </c>
      <c r="AE48" s="399" t="n">
        <f aca="false">$B$47*AE24/2</f>
        <v>0</v>
      </c>
      <c r="AF48" s="399" t="n">
        <f aca="false">$B$47*AF24/2</f>
        <v>0</v>
      </c>
      <c r="AG48" s="399"/>
      <c r="AH48" s="182"/>
    </row>
    <row r="49" customFormat="false" ht="12.75" hidden="false" customHeight="false" outlineLevel="0" collapsed="false">
      <c r="A49" s="399" t="s">
        <v>325</v>
      </c>
      <c r="B49" s="401" t="n">
        <v>0</v>
      </c>
      <c r="C49" s="399" t="n">
        <f aca="false">C47*$L$7/2</f>
        <v>0</v>
      </c>
      <c r="D49" s="399" t="n">
        <f aca="false">D47*$L$7/2</f>
        <v>0</v>
      </c>
      <c r="E49" s="399" t="n">
        <f aca="false">E47*$L$7/2</f>
        <v>0</v>
      </c>
      <c r="F49" s="399" t="n">
        <f aca="false">F47*$L$7/2</f>
        <v>0</v>
      </c>
      <c r="G49" s="399" t="n">
        <f aca="false">G47*$L$7/2</f>
        <v>0</v>
      </c>
      <c r="H49" s="399" t="n">
        <f aca="false">H47*$L$7/2</f>
        <v>0</v>
      </c>
      <c r="I49" s="399" t="n">
        <f aca="false">I47*$L$7/2</f>
        <v>0</v>
      </c>
      <c r="J49" s="399" t="n">
        <f aca="false">J47*$L$7/2</f>
        <v>0</v>
      </c>
      <c r="K49" s="399" t="n">
        <f aca="false">K47*$L$7/2</f>
        <v>0</v>
      </c>
      <c r="L49" s="399" t="n">
        <f aca="false">L47*$L$7/2</f>
        <v>0</v>
      </c>
      <c r="M49" s="399" t="n">
        <f aca="false">M47*$L$7/2</f>
        <v>0</v>
      </c>
      <c r="N49" s="399" t="n">
        <f aca="false">N47*$L$7/2</f>
        <v>0</v>
      </c>
      <c r="O49" s="399" t="n">
        <f aca="false">O47*$L$7/2</f>
        <v>0</v>
      </c>
      <c r="P49" s="399" t="n">
        <f aca="false">P47*$L$7/2</f>
        <v>0</v>
      </c>
      <c r="Q49" s="399" t="n">
        <f aca="false">Q47*$L$7/2</f>
        <v>0</v>
      </c>
      <c r="R49" s="399" t="n">
        <f aca="false">R47*$L$7/2</f>
        <v>0</v>
      </c>
      <c r="S49" s="399" t="n">
        <f aca="false">S47*$L$7/2</f>
        <v>0</v>
      </c>
      <c r="T49" s="399" t="n">
        <f aca="false">T47*$L$7/2</f>
        <v>0</v>
      </c>
      <c r="U49" s="399" t="n">
        <f aca="false">U47*$L$7/2</f>
        <v>0</v>
      </c>
      <c r="V49" s="399" t="n">
        <f aca="false">V47*$L$7/2</f>
        <v>0</v>
      </c>
      <c r="W49" s="399" t="n">
        <f aca="false">W47*$L$7/2</f>
        <v>0</v>
      </c>
      <c r="X49" s="399" t="n">
        <f aca="false">X47*$L$7/2</f>
        <v>0</v>
      </c>
      <c r="Y49" s="399" t="n">
        <f aca="false">Y47*$L$7/2</f>
        <v>0</v>
      </c>
      <c r="Z49" s="399" t="n">
        <f aca="false">Z47*$L$7/2</f>
        <v>0</v>
      </c>
      <c r="AA49" s="399" t="n">
        <f aca="false">AA47*$L$7/2</f>
        <v>0</v>
      </c>
      <c r="AB49" s="399" t="n">
        <f aca="false">AB47*$L$7/2</f>
        <v>0</v>
      </c>
      <c r="AC49" s="399" t="n">
        <f aca="false">AC47*$L$7/2</f>
        <v>0</v>
      </c>
      <c r="AD49" s="399" t="n">
        <f aca="false">AD47*$L$7/2</f>
        <v>0</v>
      </c>
      <c r="AE49" s="399" t="n">
        <f aca="false">AE47*$L$7/2</f>
        <v>0</v>
      </c>
      <c r="AF49" s="399" t="n">
        <f aca="false">AF47*$L$7/2</f>
        <v>0</v>
      </c>
      <c r="AG49" s="399"/>
      <c r="AH49" s="182"/>
    </row>
    <row r="50" customFormat="false" ht="12.75" hidden="false" customHeight="false" outlineLevel="0" collapsed="false">
      <c r="A50" s="399" t="s">
        <v>277</v>
      </c>
      <c r="B50" s="401" t="n">
        <f aca="false">B47-B48</f>
        <v>0</v>
      </c>
      <c r="C50" s="399" t="n">
        <f aca="false">C47-C48</f>
        <v>0</v>
      </c>
      <c r="D50" s="399" t="n">
        <f aca="false">D47-D48</f>
        <v>0</v>
      </c>
      <c r="E50" s="399" t="n">
        <f aca="false">E47-E48</f>
        <v>0</v>
      </c>
      <c r="F50" s="399" t="n">
        <f aca="false">F47-F48</f>
        <v>0</v>
      </c>
      <c r="G50" s="399" t="n">
        <f aca="false">G47-G48</f>
        <v>0</v>
      </c>
      <c r="H50" s="399" t="n">
        <f aca="false">H47-H48</f>
        <v>0</v>
      </c>
      <c r="I50" s="399" t="n">
        <f aca="false">I47-I48</f>
        <v>0</v>
      </c>
      <c r="J50" s="399" t="n">
        <f aca="false">J47-J48</f>
        <v>0</v>
      </c>
      <c r="K50" s="399" t="n">
        <f aca="false">K47-K48</f>
        <v>0</v>
      </c>
      <c r="L50" s="399" t="n">
        <f aca="false">L47-L48</f>
        <v>0</v>
      </c>
      <c r="M50" s="399" t="n">
        <f aca="false">M47-M48</f>
        <v>0</v>
      </c>
      <c r="N50" s="399" t="n">
        <f aca="false">N47-N48</f>
        <v>0</v>
      </c>
      <c r="O50" s="399" t="n">
        <f aca="false">O47-O48</f>
        <v>0</v>
      </c>
      <c r="P50" s="399" t="n">
        <f aca="false">P47-P48</f>
        <v>0</v>
      </c>
      <c r="Q50" s="399" t="n">
        <f aca="false">Q47-Q48</f>
        <v>0</v>
      </c>
      <c r="R50" s="399" t="n">
        <f aca="false">R47-R48</f>
        <v>0</v>
      </c>
      <c r="S50" s="399" t="n">
        <f aca="false">S47-S48</f>
        <v>0</v>
      </c>
      <c r="T50" s="399" t="n">
        <f aca="false">T47-T48</f>
        <v>0</v>
      </c>
      <c r="U50" s="399" t="n">
        <f aca="false">U47-U48</f>
        <v>0</v>
      </c>
      <c r="V50" s="399" t="n">
        <f aca="false">V47-V48</f>
        <v>0</v>
      </c>
      <c r="W50" s="399" t="n">
        <f aca="false">W47-W48</f>
        <v>0</v>
      </c>
      <c r="X50" s="399" t="n">
        <f aca="false">X47-X48</f>
        <v>0</v>
      </c>
      <c r="Y50" s="399" t="n">
        <f aca="false">Y47-Y48</f>
        <v>0</v>
      </c>
      <c r="Z50" s="399" t="n">
        <f aca="false">Z47-Z48</f>
        <v>0</v>
      </c>
      <c r="AA50" s="399" t="n">
        <f aca="false">AA47-AA48</f>
        <v>0</v>
      </c>
      <c r="AB50" s="399" t="n">
        <f aca="false">AB47-AB48</f>
        <v>0</v>
      </c>
      <c r="AC50" s="399" t="n">
        <f aca="false">AC47-AC48</f>
        <v>0</v>
      </c>
      <c r="AD50" s="399" t="n">
        <f aca="false">AD47-AD48</f>
        <v>0</v>
      </c>
      <c r="AE50" s="399" t="n">
        <f aca="false">AE47-AE48</f>
        <v>0</v>
      </c>
      <c r="AF50" s="399" t="n">
        <f aca="false">AF47-AF48</f>
        <v>0</v>
      </c>
      <c r="AG50" s="399"/>
      <c r="AH50" s="182"/>
    </row>
    <row r="51" customFormat="false" ht="12.75" hidden="false" customHeight="false" outlineLevel="0" collapsed="false">
      <c r="A51" s="403" t="str">
        <f aca="false">A35</f>
        <v>Period 2</v>
      </c>
      <c r="B51" s="401"/>
      <c r="C51" s="399"/>
      <c r="D51" s="399"/>
      <c r="E51" s="399"/>
      <c r="F51" s="399"/>
      <c r="G51" s="399"/>
      <c r="H51" s="399"/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182"/>
    </row>
    <row r="52" customFormat="false" ht="12.75" hidden="false" customHeight="false" outlineLevel="0" collapsed="false">
      <c r="A52" s="399" t="s">
        <v>269</v>
      </c>
      <c r="B52" s="401" t="n">
        <f aca="false">B50</f>
        <v>0</v>
      </c>
      <c r="C52" s="401" t="n">
        <f aca="false">C50</f>
        <v>0</v>
      </c>
      <c r="D52" s="401" t="n">
        <f aca="false">D50</f>
        <v>0</v>
      </c>
      <c r="E52" s="401" t="n">
        <f aca="false">E50</f>
        <v>0</v>
      </c>
      <c r="F52" s="401" t="n">
        <f aca="false">F50</f>
        <v>0</v>
      </c>
      <c r="G52" s="401" t="n">
        <f aca="false">G50</f>
        <v>0</v>
      </c>
      <c r="H52" s="401" t="n">
        <f aca="false">H50</f>
        <v>0</v>
      </c>
      <c r="I52" s="401" t="n">
        <f aca="false">I50</f>
        <v>0</v>
      </c>
      <c r="J52" s="401" t="n">
        <f aca="false">J50</f>
        <v>0</v>
      </c>
      <c r="K52" s="401" t="n">
        <f aca="false">K50</f>
        <v>0</v>
      </c>
      <c r="L52" s="401" t="n">
        <f aca="false">L50</f>
        <v>0</v>
      </c>
      <c r="M52" s="401" t="n">
        <f aca="false">M50</f>
        <v>0</v>
      </c>
      <c r="N52" s="401" t="n">
        <f aca="false">N50</f>
        <v>0</v>
      </c>
      <c r="O52" s="401" t="n">
        <f aca="false">O50</f>
        <v>0</v>
      </c>
      <c r="P52" s="401" t="n">
        <f aca="false">P50</f>
        <v>0</v>
      </c>
      <c r="Q52" s="401" t="n">
        <f aca="false">Q50</f>
        <v>0</v>
      </c>
      <c r="R52" s="401" t="n">
        <f aca="false">R50</f>
        <v>0</v>
      </c>
      <c r="S52" s="401" t="n">
        <f aca="false">S50</f>
        <v>0</v>
      </c>
      <c r="T52" s="401" t="n">
        <f aca="false">T50</f>
        <v>0</v>
      </c>
      <c r="U52" s="401" t="n">
        <f aca="false">U50</f>
        <v>0</v>
      </c>
      <c r="V52" s="401" t="n">
        <f aca="false">V50</f>
        <v>0</v>
      </c>
      <c r="W52" s="401" t="n">
        <f aca="false">W50</f>
        <v>0</v>
      </c>
      <c r="X52" s="401" t="n">
        <f aca="false">X50</f>
        <v>0</v>
      </c>
      <c r="Y52" s="401" t="n">
        <f aca="false">Y50</f>
        <v>0</v>
      </c>
      <c r="Z52" s="401" t="n">
        <f aca="false">Z50</f>
        <v>0</v>
      </c>
      <c r="AA52" s="401" t="n">
        <f aca="false">AA50</f>
        <v>0</v>
      </c>
      <c r="AB52" s="401" t="n">
        <f aca="false">AB50</f>
        <v>0</v>
      </c>
      <c r="AC52" s="401" t="n">
        <f aca="false">AC50</f>
        <v>0</v>
      </c>
      <c r="AD52" s="401" t="n">
        <f aca="false">AD50</f>
        <v>0</v>
      </c>
      <c r="AE52" s="401" t="n">
        <f aca="false">AE50</f>
        <v>0</v>
      </c>
      <c r="AF52" s="401" t="n">
        <f aca="false">AF50</f>
        <v>0</v>
      </c>
      <c r="AG52" s="399"/>
      <c r="AH52" s="182"/>
    </row>
    <row r="53" customFormat="false" ht="12.75" hidden="false" customHeight="false" outlineLevel="0" collapsed="false">
      <c r="A53" s="399" t="s">
        <v>324</v>
      </c>
      <c r="B53" s="401" t="n">
        <f aca="false">B24*$B$47</f>
        <v>0</v>
      </c>
      <c r="C53" s="401" t="n">
        <f aca="false">C24*$B$47/2</f>
        <v>0</v>
      </c>
      <c r="D53" s="401" t="n">
        <f aca="false">D24*$B$47/2</f>
        <v>0</v>
      </c>
      <c r="E53" s="401" t="n">
        <f aca="false">E24*$B$47/2</f>
        <v>0</v>
      </c>
      <c r="F53" s="401" t="n">
        <f aca="false">F24*$B$47/2</f>
        <v>0</v>
      </c>
      <c r="G53" s="401" t="n">
        <f aca="false">G24*$B$47/2</f>
        <v>0</v>
      </c>
      <c r="H53" s="401" t="n">
        <f aca="false">H24*$B$47/2</f>
        <v>0</v>
      </c>
      <c r="I53" s="401" t="n">
        <f aca="false">I24*$B$47/2</f>
        <v>0</v>
      </c>
      <c r="J53" s="401" t="n">
        <f aca="false">J24*$B$47/2</f>
        <v>0</v>
      </c>
      <c r="K53" s="401" t="n">
        <f aca="false">K24*$B$47/2</f>
        <v>0</v>
      </c>
      <c r="L53" s="401" t="n">
        <f aca="false">L24*$B$47/2</f>
        <v>0</v>
      </c>
      <c r="M53" s="401" t="n">
        <f aca="false">M24*$B$47/2</f>
        <v>0</v>
      </c>
      <c r="N53" s="401" t="n">
        <f aca="false">N24*$B$47/2</f>
        <v>0</v>
      </c>
      <c r="O53" s="401" t="n">
        <f aca="false">O24*$B$47/2</f>
        <v>0</v>
      </c>
      <c r="P53" s="401" t="n">
        <f aca="false">P24*$B$47/2</f>
        <v>0</v>
      </c>
      <c r="Q53" s="401" t="n">
        <f aca="false">Q24*$B$47/2</f>
        <v>0</v>
      </c>
      <c r="R53" s="401" t="n">
        <f aca="false">R24*$B$47/2</f>
        <v>0</v>
      </c>
      <c r="S53" s="401" t="n">
        <f aca="false">S24*$B$47/2</f>
        <v>0</v>
      </c>
      <c r="T53" s="401" t="n">
        <f aca="false">T24*$B$47/2</f>
        <v>0</v>
      </c>
      <c r="U53" s="401" t="n">
        <f aca="false">U24*$B$47/2</f>
        <v>0</v>
      </c>
      <c r="V53" s="401" t="n">
        <f aca="false">V24*$B$47/2</f>
        <v>0</v>
      </c>
      <c r="W53" s="401" t="n">
        <f aca="false">W24*$B$47/2</f>
        <v>0</v>
      </c>
      <c r="X53" s="401" t="n">
        <f aca="false">X24*$B$47/2</f>
        <v>0</v>
      </c>
      <c r="Y53" s="401" t="n">
        <f aca="false">Y24*$B$47/2</f>
        <v>0</v>
      </c>
      <c r="Z53" s="401" t="n">
        <f aca="false">Z24*$B$47/2</f>
        <v>0</v>
      </c>
      <c r="AA53" s="401" t="n">
        <f aca="false">AA24*$B$47/2</f>
        <v>0</v>
      </c>
      <c r="AB53" s="401" t="n">
        <f aca="false">AB24*$B$47/2</f>
        <v>0</v>
      </c>
      <c r="AC53" s="401" t="n">
        <f aca="false">AC24*$B$47/2</f>
        <v>0</v>
      </c>
      <c r="AD53" s="401" t="n">
        <f aca="false">AD24*$B$47/2</f>
        <v>0</v>
      </c>
      <c r="AE53" s="401" t="n">
        <f aca="false">AE24*$B$47/2</f>
        <v>0</v>
      </c>
      <c r="AF53" s="401" t="n">
        <f aca="false">AF24*$B$47/2</f>
        <v>0</v>
      </c>
      <c r="AG53" s="399"/>
      <c r="AH53" s="182"/>
    </row>
    <row r="54" customFormat="false" ht="12.75" hidden="false" customHeight="false" outlineLevel="0" collapsed="false">
      <c r="A54" s="399" t="s">
        <v>325</v>
      </c>
      <c r="B54" s="401" t="n">
        <f aca="false">B52*$L$7/2</f>
        <v>0</v>
      </c>
      <c r="C54" s="401" t="n">
        <f aca="false">C52*$L$7/2</f>
        <v>0</v>
      </c>
      <c r="D54" s="401" t="n">
        <f aca="false">D52*$L$7/2</f>
        <v>0</v>
      </c>
      <c r="E54" s="401" t="n">
        <f aca="false">E52*$L$7/2</f>
        <v>0</v>
      </c>
      <c r="F54" s="401" t="n">
        <f aca="false">F52*$L$7/2</f>
        <v>0</v>
      </c>
      <c r="G54" s="401" t="n">
        <f aca="false">G52*$L$7/2</f>
        <v>0</v>
      </c>
      <c r="H54" s="401" t="n">
        <f aca="false">H52*$L$7/2</f>
        <v>0</v>
      </c>
      <c r="I54" s="401" t="n">
        <f aca="false">I52*$L$7/2</f>
        <v>0</v>
      </c>
      <c r="J54" s="401" t="n">
        <f aca="false">J52*$L$7/2</f>
        <v>0</v>
      </c>
      <c r="K54" s="401" t="n">
        <f aca="false">K52*$L$7/2</f>
        <v>0</v>
      </c>
      <c r="L54" s="401" t="n">
        <f aca="false">L52*$L$7/2</f>
        <v>0</v>
      </c>
      <c r="M54" s="401" t="n">
        <f aca="false">M52*$L$7/2</f>
        <v>0</v>
      </c>
      <c r="N54" s="401" t="n">
        <f aca="false">N52*$L$7/2</f>
        <v>0</v>
      </c>
      <c r="O54" s="401" t="n">
        <f aca="false">O52*$L$7/2</f>
        <v>0</v>
      </c>
      <c r="P54" s="401" t="n">
        <f aca="false">P52*$L$7/2</f>
        <v>0</v>
      </c>
      <c r="Q54" s="401" t="n">
        <f aca="false">Q52*$L$7/2</f>
        <v>0</v>
      </c>
      <c r="R54" s="401" t="n">
        <f aca="false">R52*$L$7/2</f>
        <v>0</v>
      </c>
      <c r="S54" s="401" t="n">
        <f aca="false">S52*$L$7/2</f>
        <v>0</v>
      </c>
      <c r="T54" s="401" t="n">
        <f aca="false">T52*$L$7/2</f>
        <v>0</v>
      </c>
      <c r="U54" s="401" t="n">
        <f aca="false">U52*$L$7/2</f>
        <v>0</v>
      </c>
      <c r="V54" s="401" t="n">
        <f aca="false">V52*$L$7/2</f>
        <v>0</v>
      </c>
      <c r="W54" s="401" t="n">
        <f aca="false">W52*$L$7/2</f>
        <v>0</v>
      </c>
      <c r="X54" s="401" t="n">
        <f aca="false">X52*$L$7/2</f>
        <v>0</v>
      </c>
      <c r="Y54" s="401" t="n">
        <f aca="false">Y52*$L$7/2</f>
        <v>0</v>
      </c>
      <c r="Z54" s="401" t="n">
        <f aca="false">Z52*$L$7/2</f>
        <v>0</v>
      </c>
      <c r="AA54" s="401" t="n">
        <f aca="false">AA52*$L$7/2</f>
        <v>0</v>
      </c>
      <c r="AB54" s="401" t="n">
        <f aca="false">AB52*$L$7/2</f>
        <v>0</v>
      </c>
      <c r="AC54" s="401" t="n">
        <f aca="false">AC52*$L$7/2</f>
        <v>0</v>
      </c>
      <c r="AD54" s="401" t="n">
        <f aca="false">AD52*$L$7/2</f>
        <v>0</v>
      </c>
      <c r="AE54" s="401" t="n">
        <f aca="false">AE52*$L$7/2</f>
        <v>0</v>
      </c>
      <c r="AF54" s="401" t="n">
        <f aca="false">AF52*$L$7/2</f>
        <v>0</v>
      </c>
      <c r="AG54" s="399"/>
      <c r="AH54" s="182"/>
    </row>
    <row r="55" customFormat="false" ht="12.75" hidden="false" customHeight="false" outlineLevel="0" collapsed="false">
      <c r="A55" s="399" t="s">
        <v>277</v>
      </c>
      <c r="B55" s="401" t="n">
        <f aca="false">B52-B53</f>
        <v>0</v>
      </c>
      <c r="C55" s="399" t="n">
        <f aca="false">C52-C53</f>
        <v>0</v>
      </c>
      <c r="D55" s="399" t="n">
        <f aca="false">D52-D53</f>
        <v>0</v>
      </c>
      <c r="E55" s="399" t="n">
        <f aca="false">E52-E53</f>
        <v>0</v>
      </c>
      <c r="F55" s="399" t="n">
        <f aca="false">F52-F53</f>
        <v>0</v>
      </c>
      <c r="G55" s="399" t="n">
        <f aca="false">G52-G53</f>
        <v>0</v>
      </c>
      <c r="H55" s="399" t="n">
        <f aca="false">H52-H53</f>
        <v>0</v>
      </c>
      <c r="I55" s="399" t="n">
        <f aca="false">I52-I53</f>
        <v>0</v>
      </c>
      <c r="J55" s="399" t="n">
        <f aca="false">J52-J53</f>
        <v>0</v>
      </c>
      <c r="K55" s="399" t="n">
        <f aca="false">K52-K53</f>
        <v>0</v>
      </c>
      <c r="L55" s="399" t="n">
        <f aca="false">L52-L53</f>
        <v>0</v>
      </c>
      <c r="M55" s="399" t="n">
        <f aca="false">M52-M53</f>
        <v>0</v>
      </c>
      <c r="N55" s="399" t="n">
        <f aca="false">N52-N53</f>
        <v>0</v>
      </c>
      <c r="O55" s="399" t="n">
        <f aca="false">O52-O53</f>
        <v>0</v>
      </c>
      <c r="P55" s="399" t="n">
        <f aca="false">P52-P53</f>
        <v>0</v>
      </c>
      <c r="Q55" s="399" t="n">
        <f aca="false">Q52-Q53</f>
        <v>0</v>
      </c>
      <c r="R55" s="399" t="n">
        <f aca="false">R52-R53</f>
        <v>0</v>
      </c>
      <c r="S55" s="399" t="n">
        <f aca="false">S52-S53</f>
        <v>0</v>
      </c>
      <c r="T55" s="399" t="n">
        <f aca="false">T52-T53</f>
        <v>0</v>
      </c>
      <c r="U55" s="399" t="n">
        <f aca="false">U52-U53</f>
        <v>0</v>
      </c>
      <c r="V55" s="399" t="n">
        <f aca="false">V52-V53</f>
        <v>0</v>
      </c>
      <c r="W55" s="399" t="n">
        <f aca="false">W52-W53</f>
        <v>0</v>
      </c>
      <c r="X55" s="399" t="n">
        <f aca="false">X52-X53</f>
        <v>0</v>
      </c>
      <c r="Y55" s="399" t="n">
        <f aca="false">Y52-Y53</f>
        <v>0</v>
      </c>
      <c r="Z55" s="399" t="n">
        <f aca="false">Z52-Z53</f>
        <v>0</v>
      </c>
      <c r="AA55" s="399" t="n">
        <f aca="false">AA52-AA53</f>
        <v>0</v>
      </c>
      <c r="AB55" s="399" t="n">
        <f aca="false">AB52-AB53</f>
        <v>0</v>
      </c>
      <c r="AC55" s="399" t="n">
        <f aca="false">AC52-AC53</f>
        <v>0</v>
      </c>
      <c r="AD55" s="399" t="n">
        <f aca="false">AD52-AD53</f>
        <v>0</v>
      </c>
      <c r="AE55" s="399" t="n">
        <f aca="false">AE52-AE53</f>
        <v>0</v>
      </c>
      <c r="AF55" s="399" t="n">
        <f aca="false">AF52-AF53</f>
        <v>0</v>
      </c>
      <c r="AG55" s="399"/>
      <c r="AH55" s="182"/>
    </row>
    <row r="56" customFormat="false" ht="12.75" hidden="false" customHeight="false" outlineLevel="0" collapsed="false">
      <c r="A56" s="399"/>
      <c r="B56" s="401"/>
      <c r="C56" s="399"/>
      <c r="D56" s="399"/>
      <c r="E56" s="399"/>
      <c r="F56" s="399"/>
      <c r="G56" s="399"/>
      <c r="H56" s="399"/>
      <c r="I56" s="399"/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182"/>
    </row>
    <row r="57" customFormat="false" ht="12.75" hidden="false" customHeight="false" outlineLevel="0" collapsed="false">
      <c r="A57" s="402" t="s">
        <v>230</v>
      </c>
      <c r="B57" s="401" t="n">
        <f aca="false">B54+B49</f>
        <v>0</v>
      </c>
      <c r="C57" s="401" t="n">
        <f aca="false">C54+C49</f>
        <v>0</v>
      </c>
      <c r="D57" s="401" t="n">
        <f aca="false">D54+D49</f>
        <v>0</v>
      </c>
      <c r="E57" s="401" t="n">
        <f aca="false">E54+E49</f>
        <v>0</v>
      </c>
      <c r="F57" s="401" t="n">
        <f aca="false">F54+F49</f>
        <v>0</v>
      </c>
      <c r="G57" s="401" t="n">
        <f aca="false">G54+G49</f>
        <v>0</v>
      </c>
      <c r="H57" s="401" t="n">
        <f aca="false">H54+H49</f>
        <v>0</v>
      </c>
      <c r="I57" s="401" t="n">
        <f aca="false">I54+I49</f>
        <v>0</v>
      </c>
      <c r="J57" s="401" t="n">
        <f aca="false">J54+J49</f>
        <v>0</v>
      </c>
      <c r="K57" s="401" t="n">
        <f aca="false">K54+K49</f>
        <v>0</v>
      </c>
      <c r="L57" s="401" t="n">
        <f aca="false">L54+L49</f>
        <v>0</v>
      </c>
      <c r="M57" s="401" t="n">
        <f aca="false">M54+M49</f>
        <v>0</v>
      </c>
      <c r="N57" s="401" t="n">
        <f aca="false">N54+N49</f>
        <v>0</v>
      </c>
      <c r="O57" s="401" t="n">
        <f aca="false">O54+O49</f>
        <v>0</v>
      </c>
      <c r="P57" s="401" t="n">
        <f aca="false">P54+P49</f>
        <v>0</v>
      </c>
      <c r="Q57" s="401" t="n">
        <f aca="false">Q54+Q49</f>
        <v>0</v>
      </c>
      <c r="R57" s="401" t="n">
        <f aca="false">R54+R49</f>
        <v>0</v>
      </c>
      <c r="S57" s="401" t="n">
        <f aca="false">S54+S49</f>
        <v>0</v>
      </c>
      <c r="T57" s="401" t="n">
        <f aca="false">T54+T49</f>
        <v>0</v>
      </c>
      <c r="U57" s="401" t="n">
        <f aca="false">U54+U49</f>
        <v>0</v>
      </c>
      <c r="V57" s="401" t="n">
        <f aca="false">V54+V49</f>
        <v>0</v>
      </c>
      <c r="W57" s="401" t="n">
        <f aca="false">W54+W49</f>
        <v>0</v>
      </c>
      <c r="X57" s="401" t="n">
        <f aca="false">X54+X49</f>
        <v>0</v>
      </c>
      <c r="Y57" s="401" t="n">
        <f aca="false">Y54+Y49</f>
        <v>0</v>
      </c>
      <c r="Z57" s="401" t="n">
        <f aca="false">Z54+Z49</f>
        <v>0</v>
      </c>
      <c r="AA57" s="401" t="n">
        <f aca="false">AA54+AA49</f>
        <v>0</v>
      </c>
      <c r="AB57" s="401" t="n">
        <f aca="false">AB54+AB49</f>
        <v>0</v>
      </c>
      <c r="AC57" s="401" t="n">
        <f aca="false">AC54+AC49</f>
        <v>0</v>
      </c>
      <c r="AD57" s="401" t="n">
        <f aca="false">AD54+AD49</f>
        <v>0</v>
      </c>
      <c r="AE57" s="401" t="n">
        <f aca="false">AE54+AE49</f>
        <v>0</v>
      </c>
      <c r="AF57" s="401" t="n">
        <f aca="false">AF54+AF49</f>
        <v>0</v>
      </c>
      <c r="AG57" s="399"/>
      <c r="AH57" s="182"/>
    </row>
    <row r="58" customFormat="false" ht="12.75" hidden="false" customHeight="false" outlineLevel="0" collapsed="false">
      <c r="A58" s="402" t="s">
        <v>263</v>
      </c>
      <c r="B58" s="401" t="n">
        <f aca="false">B53+B48</f>
        <v>0</v>
      </c>
      <c r="C58" s="401" t="n">
        <f aca="false">C53+C48</f>
        <v>0</v>
      </c>
      <c r="D58" s="401" t="n">
        <f aca="false">D53+D48</f>
        <v>0</v>
      </c>
      <c r="E58" s="401" t="n">
        <f aca="false">E53+E48</f>
        <v>0</v>
      </c>
      <c r="F58" s="401" t="n">
        <f aca="false">F53+F48</f>
        <v>0</v>
      </c>
      <c r="G58" s="401" t="n">
        <f aca="false">G53+G48</f>
        <v>0</v>
      </c>
      <c r="H58" s="401" t="n">
        <f aca="false">H53+H48</f>
        <v>0</v>
      </c>
      <c r="I58" s="401" t="n">
        <f aca="false">I53+I48</f>
        <v>0</v>
      </c>
      <c r="J58" s="401" t="n">
        <f aca="false">J53+J48</f>
        <v>0</v>
      </c>
      <c r="K58" s="401" t="n">
        <f aca="false">K53+K48</f>
        <v>0</v>
      </c>
      <c r="L58" s="401" t="n">
        <f aca="false">L53+L48</f>
        <v>0</v>
      </c>
      <c r="M58" s="401" t="n">
        <f aca="false">M53+M48</f>
        <v>0</v>
      </c>
      <c r="N58" s="401" t="n">
        <f aca="false">N53+N48</f>
        <v>0</v>
      </c>
      <c r="O58" s="401" t="n">
        <f aca="false">O53+O48</f>
        <v>0</v>
      </c>
      <c r="P58" s="401" t="n">
        <f aca="false">P53+P48</f>
        <v>0</v>
      </c>
      <c r="Q58" s="401" t="n">
        <f aca="false">Q53+Q48</f>
        <v>0</v>
      </c>
      <c r="R58" s="401" t="n">
        <f aca="false">R53+R48</f>
        <v>0</v>
      </c>
      <c r="S58" s="401" t="n">
        <f aca="false">S53+S48</f>
        <v>0</v>
      </c>
      <c r="T58" s="401" t="n">
        <f aca="false">T53+T48</f>
        <v>0</v>
      </c>
      <c r="U58" s="401" t="n">
        <f aca="false">U53+U48</f>
        <v>0</v>
      </c>
      <c r="V58" s="401" t="n">
        <f aca="false">V53+V48</f>
        <v>0</v>
      </c>
      <c r="W58" s="401" t="n">
        <f aca="false">W53+W48</f>
        <v>0</v>
      </c>
      <c r="X58" s="401" t="n">
        <f aca="false">X53+X48</f>
        <v>0</v>
      </c>
      <c r="Y58" s="401" t="n">
        <f aca="false">Y53+Y48</f>
        <v>0</v>
      </c>
      <c r="Z58" s="401" t="n">
        <f aca="false">Z53+Z48</f>
        <v>0</v>
      </c>
      <c r="AA58" s="401" t="n">
        <f aca="false">AA53+AA48</f>
        <v>0</v>
      </c>
      <c r="AB58" s="401" t="n">
        <f aca="false">AB53+AB48</f>
        <v>0</v>
      </c>
      <c r="AC58" s="401" t="n">
        <f aca="false">AC53+AC48</f>
        <v>0</v>
      </c>
      <c r="AD58" s="401" t="n">
        <f aca="false">AD53+AD48</f>
        <v>0</v>
      </c>
      <c r="AE58" s="401" t="n">
        <f aca="false">AE53+AE48</f>
        <v>0</v>
      </c>
      <c r="AF58" s="401" t="n">
        <f aca="false">AF53+AF48</f>
        <v>0</v>
      </c>
      <c r="AG58" s="399"/>
      <c r="AH58" s="182"/>
    </row>
    <row r="59" customFormat="false" ht="12.75" hidden="false" customHeight="false" outlineLevel="0" collapsed="false">
      <c r="B59" s="404"/>
      <c r="C59" s="399"/>
      <c r="D59" s="399"/>
      <c r="E59" s="399"/>
      <c r="F59" s="399"/>
      <c r="G59" s="399"/>
      <c r="H59" s="399"/>
      <c r="I59" s="399"/>
      <c r="J59" s="399"/>
      <c r="K59" s="399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182"/>
    </row>
    <row r="60" customFormat="false" ht="12.75" hidden="false" customHeight="false" outlineLevel="0" collapsed="false">
      <c r="B60" s="401"/>
      <c r="C60" s="399"/>
      <c r="D60" s="399"/>
      <c r="E60" s="399"/>
      <c r="F60" s="399"/>
      <c r="G60" s="399"/>
      <c r="H60" s="399"/>
      <c r="I60" s="399"/>
      <c r="J60" s="399"/>
      <c r="K60" s="399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182"/>
    </row>
    <row r="61" customFormat="false" ht="12.75" hidden="false" customHeight="false" outlineLevel="0" collapsed="false">
      <c r="A61" s="396" t="str">
        <f aca="false">CONCATENATE("Tranche 3 @ ",R7*100,"%")</f>
        <v>Tranche 3 @ 8%</v>
      </c>
      <c r="B61" s="39"/>
      <c r="C61" s="397"/>
      <c r="AA61" s="1"/>
      <c r="AB61" s="1"/>
    </row>
    <row r="62" customFormat="false" ht="12.75" hidden="false" customHeight="false" outlineLevel="0" collapsed="false">
      <c r="A62" s="403" t="str">
        <f aca="false">A30</f>
        <v>Period 1</v>
      </c>
      <c r="B62" s="401"/>
      <c r="AA62" s="1"/>
      <c r="AB62" s="1"/>
    </row>
    <row r="63" customFormat="false" ht="12.75" hidden="false" customHeight="false" outlineLevel="0" collapsed="false">
      <c r="A63" s="399" t="s">
        <v>269</v>
      </c>
      <c r="B63" s="404" t="n">
        <f aca="false">R10</f>
        <v>0</v>
      </c>
      <c r="C63" s="399" t="n">
        <f aca="false">B71</f>
        <v>0</v>
      </c>
      <c r="D63" s="399" t="n">
        <f aca="false">C71</f>
        <v>0</v>
      </c>
      <c r="E63" s="399" t="n">
        <f aca="false">D71</f>
        <v>0</v>
      </c>
      <c r="F63" s="399" t="n">
        <f aca="false">E71</f>
        <v>0</v>
      </c>
      <c r="G63" s="399" t="n">
        <f aca="false">F71</f>
        <v>0</v>
      </c>
      <c r="H63" s="399" t="n">
        <f aca="false">G71</f>
        <v>0</v>
      </c>
      <c r="I63" s="399" t="n">
        <f aca="false">H71</f>
        <v>0</v>
      </c>
      <c r="J63" s="399" t="n">
        <f aca="false">I71</f>
        <v>0</v>
      </c>
      <c r="K63" s="399" t="n">
        <f aca="false">J71</f>
        <v>0</v>
      </c>
      <c r="L63" s="399" t="n">
        <f aca="false">K71</f>
        <v>0</v>
      </c>
      <c r="M63" s="399" t="n">
        <f aca="false">L71</f>
        <v>0</v>
      </c>
      <c r="N63" s="399" t="n">
        <f aca="false">M71</f>
        <v>0</v>
      </c>
      <c r="O63" s="399" t="n">
        <f aca="false">N71</f>
        <v>0</v>
      </c>
      <c r="P63" s="399" t="n">
        <f aca="false">O71</f>
        <v>0</v>
      </c>
      <c r="Q63" s="399" t="n">
        <f aca="false">P71</f>
        <v>0</v>
      </c>
      <c r="R63" s="399" t="n">
        <f aca="false">Q71</f>
        <v>0</v>
      </c>
      <c r="S63" s="399" t="n">
        <f aca="false">R71</f>
        <v>0</v>
      </c>
      <c r="T63" s="399" t="n">
        <f aca="false">S71</f>
        <v>0</v>
      </c>
      <c r="U63" s="399" t="n">
        <f aca="false">T71</f>
        <v>0</v>
      </c>
      <c r="V63" s="399" t="n">
        <f aca="false">U71</f>
        <v>0</v>
      </c>
      <c r="W63" s="399" t="n">
        <f aca="false">V71</f>
        <v>0</v>
      </c>
      <c r="X63" s="399" t="n">
        <f aca="false">W71</f>
        <v>0</v>
      </c>
      <c r="Y63" s="399" t="n">
        <f aca="false">X71</f>
        <v>0</v>
      </c>
      <c r="Z63" s="399" t="n">
        <f aca="false">Y71</f>
        <v>0</v>
      </c>
      <c r="AA63" s="399" t="n">
        <f aca="false">Z71</f>
        <v>0</v>
      </c>
      <c r="AB63" s="399" t="n">
        <f aca="false">AA71</f>
        <v>0</v>
      </c>
      <c r="AC63" s="399" t="n">
        <f aca="false">AB71</f>
        <v>0</v>
      </c>
      <c r="AD63" s="399" t="n">
        <f aca="false">AC71</f>
        <v>0</v>
      </c>
      <c r="AE63" s="399" t="n">
        <f aca="false">AD71</f>
        <v>0</v>
      </c>
      <c r="AF63" s="399" t="n">
        <f aca="false">AE71</f>
        <v>0</v>
      </c>
      <c r="AG63" s="399"/>
      <c r="AH63" s="182"/>
    </row>
    <row r="64" customFormat="false" ht="12.75" hidden="false" customHeight="false" outlineLevel="0" collapsed="false">
      <c r="A64" s="399" t="s">
        <v>324</v>
      </c>
      <c r="B64" s="401" t="n">
        <v>0</v>
      </c>
      <c r="C64" s="399" t="n">
        <f aca="false">$B$63*C26/2</f>
        <v>0</v>
      </c>
      <c r="D64" s="399" t="n">
        <f aca="false">$B$63*D26/2</f>
        <v>0</v>
      </c>
      <c r="E64" s="399" t="n">
        <f aca="false">$B$63*E26/2</f>
        <v>0</v>
      </c>
      <c r="F64" s="399" t="n">
        <f aca="false">$B$63*F26/2</f>
        <v>0</v>
      </c>
      <c r="G64" s="399" t="n">
        <f aca="false">$B$63*G26/2</f>
        <v>0</v>
      </c>
      <c r="H64" s="399" t="n">
        <f aca="false">$B$63*H26/2</f>
        <v>0</v>
      </c>
      <c r="I64" s="399" t="n">
        <f aca="false">$B$63*I26/2</f>
        <v>0</v>
      </c>
      <c r="J64" s="399" t="n">
        <f aca="false">$B$63*J26/2</f>
        <v>0</v>
      </c>
      <c r="K64" s="399" t="n">
        <f aca="false">$B$63*K26/2</f>
        <v>0</v>
      </c>
      <c r="L64" s="399" t="n">
        <f aca="false">$B$63*L26/2</f>
        <v>0</v>
      </c>
      <c r="M64" s="399" t="n">
        <f aca="false">$B$63*M26/2</f>
        <v>0</v>
      </c>
      <c r="N64" s="399" t="n">
        <f aca="false">$B$63*N26/2</f>
        <v>0</v>
      </c>
      <c r="O64" s="399" t="n">
        <f aca="false">$B$63*O26/2</f>
        <v>0</v>
      </c>
      <c r="P64" s="399" t="n">
        <f aca="false">$B$63*P26/2</f>
        <v>0</v>
      </c>
      <c r="Q64" s="399" t="n">
        <f aca="false">$B$63*Q26/2</f>
        <v>0</v>
      </c>
      <c r="R64" s="399" t="n">
        <f aca="false">$B$63*R26/2</f>
        <v>0</v>
      </c>
      <c r="S64" s="399" t="n">
        <f aca="false">$B$63*S26/2</f>
        <v>0</v>
      </c>
      <c r="T64" s="399" t="n">
        <f aca="false">$B$63*T26/2</f>
        <v>0</v>
      </c>
      <c r="U64" s="399" t="n">
        <f aca="false">$B$63*U26/2</f>
        <v>0</v>
      </c>
      <c r="V64" s="399" t="n">
        <f aca="false">$B$63*V26/2</f>
        <v>0</v>
      </c>
      <c r="W64" s="399" t="n">
        <f aca="false">$B$63*W26/2</f>
        <v>0</v>
      </c>
      <c r="X64" s="399" t="n">
        <f aca="false">$B$63*X26/2</f>
        <v>0</v>
      </c>
      <c r="Y64" s="399" t="n">
        <f aca="false">$B$63*Y26/2</f>
        <v>0</v>
      </c>
      <c r="Z64" s="399" t="n">
        <f aca="false">$B$63*Z26/2</f>
        <v>0</v>
      </c>
      <c r="AA64" s="399" t="n">
        <f aca="false">$B$63*AA26/2</f>
        <v>0</v>
      </c>
      <c r="AB64" s="399" t="n">
        <f aca="false">$B$63*AB26/2</f>
        <v>0</v>
      </c>
      <c r="AC64" s="399" t="n">
        <f aca="false">$B$63*AC26/2</f>
        <v>0</v>
      </c>
      <c r="AD64" s="399" t="n">
        <f aca="false">$B$63*AD26/2</f>
        <v>0</v>
      </c>
      <c r="AE64" s="399" t="n">
        <f aca="false">$B$63*AE26/2</f>
        <v>0</v>
      </c>
      <c r="AF64" s="399" t="n">
        <f aca="false">$B$63*AF26/2</f>
        <v>0</v>
      </c>
      <c r="AG64" s="405"/>
      <c r="AH64" s="182"/>
    </row>
    <row r="65" customFormat="false" ht="12.75" hidden="false" customHeight="false" outlineLevel="0" collapsed="false">
      <c r="A65" s="399" t="s">
        <v>325</v>
      </c>
      <c r="B65" s="401" t="n">
        <v>0</v>
      </c>
      <c r="C65" s="399" t="n">
        <f aca="false">C63*$R$7/2</f>
        <v>0</v>
      </c>
      <c r="D65" s="399" t="n">
        <f aca="false">D63*$R$7/2</f>
        <v>0</v>
      </c>
      <c r="E65" s="399" t="n">
        <f aca="false">E63*$R$7/2</f>
        <v>0</v>
      </c>
      <c r="F65" s="399" t="n">
        <f aca="false">F63*$R$7/2</f>
        <v>0</v>
      </c>
      <c r="G65" s="399" t="n">
        <f aca="false">G63*$R$7/2</f>
        <v>0</v>
      </c>
      <c r="H65" s="399" t="n">
        <f aca="false">H63*$R$7/2</f>
        <v>0</v>
      </c>
      <c r="I65" s="399" t="n">
        <f aca="false">I63*$R$7/2</f>
        <v>0</v>
      </c>
      <c r="J65" s="399" t="n">
        <f aca="false">J63*$R$7/2</f>
        <v>0</v>
      </c>
      <c r="K65" s="399" t="n">
        <f aca="false">K63*$R$7/2</f>
        <v>0</v>
      </c>
      <c r="L65" s="399" t="n">
        <f aca="false">L63*$R$7/2</f>
        <v>0</v>
      </c>
      <c r="M65" s="399" t="n">
        <f aca="false">M63*$R$7/2</f>
        <v>0</v>
      </c>
      <c r="N65" s="399" t="n">
        <f aca="false">N63*$R$7/2</f>
        <v>0</v>
      </c>
      <c r="O65" s="399" t="n">
        <f aca="false">O63*$R$7/2</f>
        <v>0</v>
      </c>
      <c r="P65" s="399" t="n">
        <f aca="false">P63*$R$7/2</f>
        <v>0</v>
      </c>
      <c r="Q65" s="399" t="n">
        <f aca="false">Q63*$R$7/2</f>
        <v>0</v>
      </c>
      <c r="R65" s="399" t="n">
        <f aca="false">R63*$R$7/2</f>
        <v>0</v>
      </c>
      <c r="S65" s="399" t="n">
        <f aca="false">S63*$R$7/2</f>
        <v>0</v>
      </c>
      <c r="T65" s="399" t="n">
        <f aca="false">T63*$R$7/2</f>
        <v>0</v>
      </c>
      <c r="U65" s="399" t="n">
        <f aca="false">U63*$R$7/2</f>
        <v>0</v>
      </c>
      <c r="V65" s="399" t="n">
        <f aca="false">V63*$R$7/2</f>
        <v>0</v>
      </c>
      <c r="W65" s="399" t="n">
        <f aca="false">W63*$R$7/2</f>
        <v>0</v>
      </c>
      <c r="X65" s="399" t="n">
        <f aca="false">X63*$R$7/2</f>
        <v>0</v>
      </c>
      <c r="Y65" s="399" t="n">
        <f aca="false">Y63*$R$7/2</f>
        <v>0</v>
      </c>
      <c r="Z65" s="399" t="n">
        <f aca="false">Z63*$R$7/2</f>
        <v>0</v>
      </c>
      <c r="AA65" s="399" t="n">
        <f aca="false">AA63*$R$7/2</f>
        <v>0</v>
      </c>
      <c r="AB65" s="399" t="n">
        <f aca="false">AB63*$R$7/2</f>
        <v>0</v>
      </c>
      <c r="AC65" s="399" t="n">
        <f aca="false">AC63*$R$7/2</f>
        <v>0</v>
      </c>
      <c r="AD65" s="399" t="n">
        <f aca="false">AD63*$R$7/2</f>
        <v>0</v>
      </c>
      <c r="AE65" s="399" t="n">
        <f aca="false">AE63*$R$7/2</f>
        <v>0</v>
      </c>
      <c r="AF65" s="399" t="n">
        <f aca="false">AF63*$R$7/2</f>
        <v>0</v>
      </c>
      <c r="AG65" s="405"/>
      <c r="AH65" s="182"/>
    </row>
    <row r="66" customFormat="false" ht="12.75" hidden="false" customHeight="false" outlineLevel="0" collapsed="false">
      <c r="A66" s="399" t="s">
        <v>277</v>
      </c>
      <c r="B66" s="401" t="n">
        <f aca="false">B63-B64</f>
        <v>0</v>
      </c>
      <c r="C66" s="399" t="n">
        <f aca="false">C63-C64</f>
        <v>0</v>
      </c>
      <c r="D66" s="399" t="n">
        <f aca="false">D63-D64</f>
        <v>0</v>
      </c>
      <c r="E66" s="399" t="n">
        <f aca="false">E63-E64</f>
        <v>0</v>
      </c>
      <c r="F66" s="399" t="n">
        <f aca="false">F63-F64</f>
        <v>0</v>
      </c>
      <c r="G66" s="399" t="n">
        <f aca="false">G63-G64</f>
        <v>0</v>
      </c>
      <c r="H66" s="399" t="n">
        <f aca="false">H63-H64</f>
        <v>0</v>
      </c>
      <c r="I66" s="399" t="n">
        <f aca="false">I63-I64</f>
        <v>0</v>
      </c>
      <c r="J66" s="399" t="n">
        <f aca="false">J63-J64</f>
        <v>0</v>
      </c>
      <c r="K66" s="399" t="n">
        <f aca="false">K63-K64</f>
        <v>0</v>
      </c>
      <c r="L66" s="399" t="n">
        <f aca="false">L63-L64</f>
        <v>0</v>
      </c>
      <c r="M66" s="405" t="n">
        <f aca="false">M63-M64</f>
        <v>0</v>
      </c>
      <c r="N66" s="405" t="n">
        <f aca="false">N63-N64</f>
        <v>0</v>
      </c>
      <c r="O66" s="405" t="n">
        <f aca="false">O63-O64</f>
        <v>0</v>
      </c>
      <c r="P66" s="405" t="n">
        <f aca="false">P63-P64</f>
        <v>0</v>
      </c>
      <c r="Q66" s="405" t="n">
        <f aca="false">Q63-Q64</f>
        <v>0</v>
      </c>
      <c r="R66" s="405" t="n">
        <f aca="false">R63-R64</f>
        <v>0</v>
      </c>
      <c r="S66" s="405" t="n">
        <f aca="false">S63-S64</f>
        <v>0</v>
      </c>
      <c r="T66" s="405" t="n">
        <f aca="false">T63-T64</f>
        <v>0</v>
      </c>
      <c r="U66" s="405" t="n">
        <f aca="false">U63-U64</f>
        <v>0</v>
      </c>
      <c r="V66" s="405" t="n">
        <f aca="false">V63-V64</f>
        <v>0</v>
      </c>
      <c r="W66" s="405" t="n">
        <f aca="false">W63-W64</f>
        <v>0</v>
      </c>
      <c r="X66" s="405" t="n">
        <f aca="false">X63-X64</f>
        <v>0</v>
      </c>
      <c r="Y66" s="405" t="n">
        <f aca="false">Y63-Y64</f>
        <v>0</v>
      </c>
      <c r="Z66" s="405" t="n">
        <f aca="false">Z63-Z64</f>
        <v>0</v>
      </c>
      <c r="AA66" s="405" t="n">
        <f aca="false">AA63-AA64</f>
        <v>0</v>
      </c>
      <c r="AB66" s="405" t="n">
        <f aca="false">AB63-AB64</f>
        <v>0</v>
      </c>
      <c r="AC66" s="405" t="n">
        <f aca="false">AC63-AC64</f>
        <v>0</v>
      </c>
      <c r="AD66" s="405" t="n">
        <f aca="false">AD63-AD64</f>
        <v>0</v>
      </c>
      <c r="AE66" s="405" t="n">
        <f aca="false">AE63-AE64</f>
        <v>0</v>
      </c>
      <c r="AF66" s="405" t="n">
        <f aca="false">AF63-AF64</f>
        <v>0</v>
      </c>
      <c r="AG66" s="405"/>
      <c r="AH66" s="182"/>
    </row>
    <row r="67" customFormat="false" ht="12.75" hidden="false" customHeight="false" outlineLevel="0" collapsed="false">
      <c r="A67" s="403" t="str">
        <f aca="false">A35</f>
        <v>Period 2</v>
      </c>
      <c r="B67" s="401"/>
      <c r="C67" s="399"/>
      <c r="D67" s="399"/>
      <c r="E67" s="399"/>
      <c r="F67" s="399"/>
      <c r="G67" s="399"/>
      <c r="H67" s="399"/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T67" s="405"/>
      <c r="U67" s="405"/>
      <c r="V67" s="405"/>
      <c r="W67" s="405"/>
      <c r="X67" s="405"/>
      <c r="Y67" s="405"/>
      <c r="Z67" s="405"/>
      <c r="AA67" s="405"/>
      <c r="AB67" s="405"/>
      <c r="AC67" s="405"/>
      <c r="AD67" s="405"/>
      <c r="AE67" s="405"/>
      <c r="AF67" s="405"/>
      <c r="AG67" s="399"/>
      <c r="AH67" s="182"/>
    </row>
    <row r="68" customFormat="false" ht="12.75" hidden="false" customHeight="false" outlineLevel="0" collapsed="false">
      <c r="A68" s="399" t="s">
        <v>269</v>
      </c>
      <c r="B68" s="401" t="n">
        <f aca="false">B66</f>
        <v>0</v>
      </c>
      <c r="C68" s="399" t="n">
        <f aca="false">C66</f>
        <v>0</v>
      </c>
      <c r="D68" s="399" t="n">
        <f aca="false">D66</f>
        <v>0</v>
      </c>
      <c r="E68" s="399" t="n">
        <f aca="false">E66</f>
        <v>0</v>
      </c>
      <c r="F68" s="399" t="n">
        <f aca="false">F66</f>
        <v>0</v>
      </c>
      <c r="G68" s="399" t="n">
        <f aca="false">G66</f>
        <v>0</v>
      </c>
      <c r="H68" s="399" t="n">
        <f aca="false">H66</f>
        <v>0</v>
      </c>
      <c r="I68" s="399" t="n">
        <f aca="false">I66</f>
        <v>0</v>
      </c>
      <c r="J68" s="399" t="n">
        <f aca="false">J66</f>
        <v>0</v>
      </c>
      <c r="K68" s="399" t="n">
        <f aca="false">K66</f>
        <v>0</v>
      </c>
      <c r="L68" s="399" t="n">
        <f aca="false">L66</f>
        <v>0</v>
      </c>
      <c r="M68" s="399" t="n">
        <f aca="false">M66</f>
        <v>0</v>
      </c>
      <c r="N68" s="399" t="n">
        <f aca="false">N66</f>
        <v>0</v>
      </c>
      <c r="O68" s="399" t="n">
        <f aca="false">O66</f>
        <v>0</v>
      </c>
      <c r="P68" s="399" t="n">
        <f aca="false">P66</f>
        <v>0</v>
      </c>
      <c r="Q68" s="399" t="n">
        <f aca="false">Q66</f>
        <v>0</v>
      </c>
      <c r="R68" s="399" t="n">
        <f aca="false">R66</f>
        <v>0</v>
      </c>
      <c r="S68" s="399" t="n">
        <f aca="false">S66</f>
        <v>0</v>
      </c>
      <c r="T68" s="399" t="n">
        <f aca="false">T66</f>
        <v>0</v>
      </c>
      <c r="U68" s="399" t="n">
        <f aca="false">U66</f>
        <v>0</v>
      </c>
      <c r="V68" s="399" t="n">
        <f aca="false">V66</f>
        <v>0</v>
      </c>
      <c r="W68" s="399" t="n">
        <f aca="false">W66</f>
        <v>0</v>
      </c>
      <c r="X68" s="399" t="n">
        <f aca="false">X66</f>
        <v>0</v>
      </c>
      <c r="Y68" s="399" t="n">
        <f aca="false">Y66</f>
        <v>0</v>
      </c>
      <c r="Z68" s="399" t="n">
        <f aca="false">Z66</f>
        <v>0</v>
      </c>
      <c r="AA68" s="399" t="n">
        <f aca="false">AA66</f>
        <v>0</v>
      </c>
      <c r="AB68" s="399" t="n">
        <f aca="false">AB66</f>
        <v>0</v>
      </c>
      <c r="AC68" s="399" t="n">
        <f aca="false">AC66</f>
        <v>0</v>
      </c>
      <c r="AD68" s="399" t="n">
        <f aca="false">AD66</f>
        <v>0</v>
      </c>
      <c r="AE68" s="399" t="n">
        <f aca="false">AE66</f>
        <v>0</v>
      </c>
      <c r="AF68" s="399" t="n">
        <f aca="false">AF66</f>
        <v>0</v>
      </c>
      <c r="AG68" s="399"/>
      <c r="AH68" s="182"/>
    </row>
    <row r="69" customFormat="false" ht="12.75" hidden="false" customHeight="false" outlineLevel="0" collapsed="false">
      <c r="A69" s="399" t="s">
        <v>324</v>
      </c>
      <c r="B69" s="401" t="n">
        <f aca="false">B63*B26</f>
        <v>0</v>
      </c>
      <c r="C69" s="399" t="n">
        <f aca="false">$B$63*C26/2</f>
        <v>0</v>
      </c>
      <c r="D69" s="399" t="n">
        <f aca="false">$B$63*D26/2</f>
        <v>0</v>
      </c>
      <c r="E69" s="399" t="n">
        <f aca="false">$B$63*E26/2</f>
        <v>0</v>
      </c>
      <c r="F69" s="399" t="n">
        <f aca="false">$B$63*F26/2</f>
        <v>0</v>
      </c>
      <c r="G69" s="399" t="n">
        <f aca="false">$B$63*G26/2</f>
        <v>0</v>
      </c>
      <c r="H69" s="399" t="n">
        <f aca="false">$B$63*H26/2</f>
        <v>0</v>
      </c>
      <c r="I69" s="399" t="n">
        <f aca="false">$B$63*I26/2</f>
        <v>0</v>
      </c>
      <c r="J69" s="399" t="n">
        <f aca="false">$B$63*J26/2</f>
        <v>0</v>
      </c>
      <c r="K69" s="399" t="n">
        <f aca="false">$B$63*K26/2</f>
        <v>0</v>
      </c>
      <c r="L69" s="399" t="n">
        <f aca="false">$B$63*L26/2</f>
        <v>0</v>
      </c>
      <c r="M69" s="399" t="n">
        <f aca="false">$B$63*M26/2</f>
        <v>0</v>
      </c>
      <c r="N69" s="399" t="n">
        <f aca="false">$B$63*N26/2</f>
        <v>0</v>
      </c>
      <c r="O69" s="399" t="n">
        <f aca="false">$B$63*O26/2</f>
        <v>0</v>
      </c>
      <c r="P69" s="399" t="n">
        <f aca="false">$B$63*P26/2</f>
        <v>0</v>
      </c>
      <c r="Q69" s="399" t="n">
        <f aca="false">$B$63*Q26/2</f>
        <v>0</v>
      </c>
      <c r="R69" s="399" t="n">
        <f aca="false">$B$63*R26/2</f>
        <v>0</v>
      </c>
      <c r="S69" s="399" t="n">
        <f aca="false">$B$63*S26/2</f>
        <v>0</v>
      </c>
      <c r="T69" s="399" t="n">
        <f aca="false">$B$63*T26/2</f>
        <v>0</v>
      </c>
      <c r="U69" s="399" t="n">
        <f aca="false">$B$63*U26/2</f>
        <v>0</v>
      </c>
      <c r="V69" s="399" t="n">
        <f aca="false">$B$63*V26/2</f>
        <v>0</v>
      </c>
      <c r="W69" s="399" t="n">
        <f aca="false">$B$63*W26/2</f>
        <v>0</v>
      </c>
      <c r="X69" s="399" t="n">
        <f aca="false">$B$63*X26/2</f>
        <v>0</v>
      </c>
      <c r="Y69" s="399" t="n">
        <f aca="false">$B$63*Y26/2</f>
        <v>0</v>
      </c>
      <c r="Z69" s="399" t="n">
        <f aca="false">$B$63*Z26/2</f>
        <v>0</v>
      </c>
      <c r="AA69" s="399" t="n">
        <f aca="false">$B$63*AA26/2</f>
        <v>0</v>
      </c>
      <c r="AB69" s="399" t="n">
        <f aca="false">$B$63*AB26/2</f>
        <v>0</v>
      </c>
      <c r="AC69" s="399" t="n">
        <f aca="false">$B$63*AC26/2</f>
        <v>0</v>
      </c>
      <c r="AD69" s="399" t="n">
        <f aca="false">$B$63*AD26/2</f>
        <v>0</v>
      </c>
      <c r="AE69" s="399" t="n">
        <f aca="false">$B$63*AE26/2</f>
        <v>0</v>
      </c>
      <c r="AF69" s="399" t="n">
        <f aca="false">$B$63*AF26/2</f>
        <v>0</v>
      </c>
      <c r="AG69" s="399"/>
      <c r="AH69" s="182"/>
    </row>
    <row r="70" customFormat="false" ht="12.75" hidden="false" customHeight="false" outlineLevel="0" collapsed="false">
      <c r="A70" s="399" t="s">
        <v>325</v>
      </c>
      <c r="B70" s="401" t="n">
        <f aca="false">B68*$R$7/2</f>
        <v>0</v>
      </c>
      <c r="C70" s="401" t="n">
        <f aca="false">C68*$R$7/2</f>
        <v>0</v>
      </c>
      <c r="D70" s="401" t="n">
        <f aca="false">D68*$R$7/2</f>
        <v>0</v>
      </c>
      <c r="E70" s="401" t="n">
        <f aca="false">E68*$R$7/2</f>
        <v>0</v>
      </c>
      <c r="F70" s="401" t="n">
        <f aca="false">F68*$R$7/2</f>
        <v>0</v>
      </c>
      <c r="G70" s="401" t="n">
        <f aca="false">G68*$R$7/2</f>
        <v>0</v>
      </c>
      <c r="H70" s="401" t="n">
        <f aca="false">H68*$R$7/2</f>
        <v>0</v>
      </c>
      <c r="I70" s="401" t="n">
        <f aca="false">I68*$R$7/2</f>
        <v>0</v>
      </c>
      <c r="J70" s="401" t="n">
        <f aca="false">J68*$R$7/2</f>
        <v>0</v>
      </c>
      <c r="K70" s="401" t="n">
        <f aca="false">K68*$R$7/2</f>
        <v>0</v>
      </c>
      <c r="L70" s="401" t="n">
        <f aca="false">L68*$R$7/2</f>
        <v>0</v>
      </c>
      <c r="M70" s="401" t="n">
        <f aca="false">M68*$R$7/2</f>
        <v>0</v>
      </c>
      <c r="N70" s="401" t="n">
        <f aca="false">N68*$R$7/2</f>
        <v>0</v>
      </c>
      <c r="O70" s="401" t="n">
        <f aca="false">O68*$R$7/2</f>
        <v>0</v>
      </c>
      <c r="P70" s="401" t="n">
        <f aca="false">P68*$R$7/2</f>
        <v>0</v>
      </c>
      <c r="Q70" s="401" t="n">
        <f aca="false">Q68*$R$7/2</f>
        <v>0</v>
      </c>
      <c r="R70" s="401" t="n">
        <f aca="false">R68*$R$7/2</f>
        <v>0</v>
      </c>
      <c r="S70" s="401" t="n">
        <f aca="false">S68*$R$7/2</f>
        <v>0</v>
      </c>
      <c r="T70" s="401" t="n">
        <f aca="false">T68*$R$7/2</f>
        <v>0</v>
      </c>
      <c r="U70" s="401" t="n">
        <f aca="false">U68*$R$7/2</f>
        <v>0</v>
      </c>
      <c r="V70" s="401" t="n">
        <f aca="false">V68*$R$7/2</f>
        <v>0</v>
      </c>
      <c r="W70" s="401" t="n">
        <f aca="false">W68*$R$7/2</f>
        <v>0</v>
      </c>
      <c r="X70" s="401" t="n">
        <f aca="false">X68*$R$7/2</f>
        <v>0</v>
      </c>
      <c r="Y70" s="401" t="n">
        <f aca="false">Y68*$R$7/2</f>
        <v>0</v>
      </c>
      <c r="Z70" s="401" t="n">
        <f aca="false">Z68*$R$7/2</f>
        <v>0</v>
      </c>
      <c r="AA70" s="401" t="n">
        <f aca="false">AA68*$R$7/2</f>
        <v>0</v>
      </c>
      <c r="AB70" s="401" t="n">
        <f aca="false">AB68*$R$7/2</f>
        <v>0</v>
      </c>
      <c r="AC70" s="401" t="n">
        <f aca="false">AC68*$R$7/2</f>
        <v>0</v>
      </c>
      <c r="AD70" s="401" t="n">
        <f aca="false">AD68*$R$7/2</f>
        <v>0</v>
      </c>
      <c r="AE70" s="401" t="n">
        <f aca="false">AE68*$R$7/2</f>
        <v>0</v>
      </c>
      <c r="AF70" s="401" t="n">
        <f aca="false">AF68*$R$7/2</f>
        <v>0</v>
      </c>
      <c r="AG70" s="399"/>
      <c r="AH70" s="182"/>
    </row>
    <row r="71" customFormat="false" ht="12.75" hidden="false" customHeight="false" outlineLevel="0" collapsed="false">
      <c r="A71" s="399" t="s">
        <v>277</v>
      </c>
      <c r="B71" s="399" t="n">
        <f aca="false">B68-B69</f>
        <v>0</v>
      </c>
      <c r="C71" s="399" t="n">
        <f aca="false">C68-C69</f>
        <v>0</v>
      </c>
      <c r="D71" s="399" t="n">
        <f aca="false">D68-D69</f>
        <v>0</v>
      </c>
      <c r="E71" s="399" t="n">
        <f aca="false">E68-E69</f>
        <v>0</v>
      </c>
      <c r="F71" s="399" t="n">
        <f aca="false">F68-F69</f>
        <v>0</v>
      </c>
      <c r="G71" s="399" t="n">
        <f aca="false">G68-G69</f>
        <v>0</v>
      </c>
      <c r="H71" s="399" t="n">
        <f aca="false">H68-H69</f>
        <v>0</v>
      </c>
      <c r="I71" s="399" t="n">
        <f aca="false">I68-I69</f>
        <v>0</v>
      </c>
      <c r="J71" s="399" t="n">
        <f aca="false">J68-J69</f>
        <v>0</v>
      </c>
      <c r="K71" s="399" t="n">
        <f aca="false">K68-K69</f>
        <v>0</v>
      </c>
      <c r="L71" s="399" t="n">
        <f aca="false">L68-L69</f>
        <v>0</v>
      </c>
      <c r="M71" s="399" t="n">
        <f aca="false">M68-M69</f>
        <v>0</v>
      </c>
      <c r="N71" s="399" t="n">
        <f aca="false">N68-N69</f>
        <v>0</v>
      </c>
      <c r="O71" s="399" t="n">
        <f aca="false">O68-O69</f>
        <v>0</v>
      </c>
      <c r="P71" s="399" t="n">
        <f aca="false">P68-P69</f>
        <v>0</v>
      </c>
      <c r="Q71" s="399" t="n">
        <f aca="false">Q68-Q69</f>
        <v>0</v>
      </c>
      <c r="R71" s="399" t="n">
        <f aca="false">R68-R69</f>
        <v>0</v>
      </c>
      <c r="S71" s="399" t="n">
        <f aca="false">S68-S69</f>
        <v>0</v>
      </c>
      <c r="T71" s="405" t="n">
        <f aca="false">T68-T69</f>
        <v>0</v>
      </c>
      <c r="U71" s="405" t="n">
        <f aca="false">U68-U69</f>
        <v>0</v>
      </c>
      <c r="V71" s="405" t="n">
        <f aca="false">V68-V69</f>
        <v>0</v>
      </c>
      <c r="W71" s="405" t="n">
        <f aca="false">W68-W69</f>
        <v>0</v>
      </c>
      <c r="X71" s="405" t="n">
        <f aca="false">X68-X69</f>
        <v>0</v>
      </c>
      <c r="Y71" s="405" t="n">
        <f aca="false">Y68-Y69</f>
        <v>0</v>
      </c>
      <c r="Z71" s="405" t="n">
        <f aca="false">Z68-Z69</f>
        <v>0</v>
      </c>
      <c r="AA71" s="405" t="n">
        <f aca="false">AA68-AA69</f>
        <v>0</v>
      </c>
      <c r="AB71" s="405" t="n">
        <f aca="false">AB68-AB69</f>
        <v>0</v>
      </c>
      <c r="AC71" s="405" t="n">
        <f aca="false">AC68-AC69</f>
        <v>0</v>
      </c>
      <c r="AD71" s="405" t="n">
        <f aca="false">AD68-AD69</f>
        <v>0</v>
      </c>
      <c r="AE71" s="405" t="n">
        <f aca="false">AE68-AE69</f>
        <v>0</v>
      </c>
      <c r="AF71" s="405" t="n">
        <f aca="false">AF68-AF69</f>
        <v>0</v>
      </c>
      <c r="AG71" s="399"/>
      <c r="AH71" s="182"/>
    </row>
    <row r="72" customFormat="false" ht="12.75" hidden="false" customHeight="false" outlineLevel="0" collapsed="false">
      <c r="A72" s="399"/>
      <c r="B72" s="399"/>
      <c r="C72" s="399"/>
      <c r="D72" s="399"/>
      <c r="E72" s="399"/>
      <c r="F72" s="399"/>
      <c r="G72" s="399"/>
      <c r="H72" s="399"/>
      <c r="I72" s="399"/>
      <c r="J72" s="399"/>
      <c r="K72" s="399"/>
      <c r="L72" s="399"/>
      <c r="M72" s="399"/>
      <c r="N72" s="399"/>
      <c r="O72" s="399"/>
      <c r="P72" s="399"/>
      <c r="Q72" s="399"/>
      <c r="R72" s="399"/>
      <c r="S72" s="399"/>
      <c r="T72" s="405"/>
      <c r="U72" s="405"/>
      <c r="V72" s="405"/>
      <c r="W72" s="405"/>
      <c r="X72" s="405"/>
      <c r="Y72" s="405"/>
      <c r="Z72" s="405"/>
      <c r="AA72" s="405"/>
      <c r="AB72" s="405"/>
      <c r="AC72" s="405"/>
      <c r="AD72" s="405"/>
      <c r="AE72" s="405"/>
      <c r="AF72" s="405"/>
      <c r="AG72" s="399"/>
      <c r="AH72" s="182"/>
    </row>
    <row r="73" customFormat="false" ht="12.75" hidden="false" customHeight="false" outlineLevel="0" collapsed="false">
      <c r="A73" s="402" t="s">
        <v>230</v>
      </c>
      <c r="B73" s="399" t="n">
        <f aca="false">B70+B65</f>
        <v>0</v>
      </c>
      <c r="C73" s="399" t="n">
        <f aca="false">C70+C65</f>
        <v>0</v>
      </c>
      <c r="D73" s="399" t="n">
        <f aca="false">D70+D65</f>
        <v>0</v>
      </c>
      <c r="E73" s="399" t="n">
        <f aca="false">E70+E65</f>
        <v>0</v>
      </c>
      <c r="F73" s="399" t="n">
        <f aca="false">F70+F65</f>
        <v>0</v>
      </c>
      <c r="G73" s="399" t="n">
        <f aca="false">G70+G65</f>
        <v>0</v>
      </c>
      <c r="H73" s="399" t="n">
        <f aca="false">H70+H65</f>
        <v>0</v>
      </c>
      <c r="I73" s="399" t="n">
        <f aca="false">I70+I65</f>
        <v>0</v>
      </c>
      <c r="J73" s="399" t="n">
        <f aca="false">J70+J65</f>
        <v>0</v>
      </c>
      <c r="K73" s="399" t="n">
        <f aca="false">K70+K65</f>
        <v>0</v>
      </c>
      <c r="L73" s="399" t="n">
        <f aca="false">L70+L65</f>
        <v>0</v>
      </c>
      <c r="M73" s="399" t="n">
        <f aca="false">M70+M65</f>
        <v>0</v>
      </c>
      <c r="N73" s="399" t="n">
        <f aca="false">N70+N65</f>
        <v>0</v>
      </c>
      <c r="O73" s="399" t="n">
        <f aca="false">O70+O65</f>
        <v>0</v>
      </c>
      <c r="P73" s="399" t="n">
        <f aca="false">P70+P65</f>
        <v>0</v>
      </c>
      <c r="Q73" s="399" t="n">
        <f aca="false">Q70+Q65</f>
        <v>0</v>
      </c>
      <c r="R73" s="399" t="n">
        <f aca="false">R70+R65</f>
        <v>0</v>
      </c>
      <c r="S73" s="399" t="n">
        <f aca="false">S70+S65</f>
        <v>0</v>
      </c>
      <c r="T73" s="399" t="n">
        <f aca="false">T70+T65</f>
        <v>0</v>
      </c>
      <c r="U73" s="399" t="n">
        <f aca="false">U70+U65</f>
        <v>0</v>
      </c>
      <c r="V73" s="399" t="n">
        <f aca="false">V70+V65</f>
        <v>0</v>
      </c>
      <c r="W73" s="399" t="n">
        <f aca="false">W70+W65</f>
        <v>0</v>
      </c>
      <c r="X73" s="399" t="n">
        <f aca="false">X70+X65</f>
        <v>0</v>
      </c>
      <c r="Y73" s="399" t="n">
        <f aca="false">Y70+Y65</f>
        <v>0</v>
      </c>
      <c r="Z73" s="399" t="n">
        <f aca="false">Z70+Z65</f>
        <v>0</v>
      </c>
      <c r="AA73" s="399" t="n">
        <f aca="false">AA70+AA65</f>
        <v>0</v>
      </c>
      <c r="AB73" s="399" t="n">
        <f aca="false">AB70+AB65</f>
        <v>0</v>
      </c>
      <c r="AC73" s="399" t="n">
        <f aca="false">AC70+AC65</f>
        <v>0</v>
      </c>
      <c r="AD73" s="399" t="n">
        <f aca="false">AD70+AD65</f>
        <v>0</v>
      </c>
      <c r="AE73" s="399" t="n">
        <f aca="false">AE70+AE65</f>
        <v>0</v>
      </c>
      <c r="AF73" s="399" t="n">
        <f aca="false">AF70+AF65</f>
        <v>0</v>
      </c>
      <c r="AG73" s="399"/>
      <c r="AH73" s="182"/>
    </row>
    <row r="74" customFormat="false" ht="12.75" hidden="false" customHeight="false" outlineLevel="0" collapsed="false">
      <c r="A74" s="402" t="s">
        <v>263</v>
      </c>
      <c r="B74" s="401" t="n">
        <f aca="false">B69+B64</f>
        <v>0</v>
      </c>
      <c r="C74" s="401" t="n">
        <f aca="false">C69+C64</f>
        <v>0</v>
      </c>
      <c r="D74" s="401" t="n">
        <f aca="false">D69+D64</f>
        <v>0</v>
      </c>
      <c r="E74" s="401" t="n">
        <f aca="false">E69+E64</f>
        <v>0</v>
      </c>
      <c r="F74" s="401" t="n">
        <f aca="false">F69+F64</f>
        <v>0</v>
      </c>
      <c r="G74" s="401" t="n">
        <f aca="false">G69+G64</f>
        <v>0</v>
      </c>
      <c r="H74" s="401" t="n">
        <f aca="false">H69+H64</f>
        <v>0</v>
      </c>
      <c r="I74" s="401" t="n">
        <f aca="false">I69+I64</f>
        <v>0</v>
      </c>
      <c r="J74" s="401" t="n">
        <f aca="false">J69+J64</f>
        <v>0</v>
      </c>
      <c r="K74" s="401" t="n">
        <f aca="false">K69+K64</f>
        <v>0</v>
      </c>
      <c r="L74" s="401" t="n">
        <f aca="false">L69+L64</f>
        <v>0</v>
      </c>
      <c r="M74" s="401" t="n">
        <f aca="false">M69+M64</f>
        <v>0</v>
      </c>
      <c r="N74" s="401" t="n">
        <f aca="false">N69+N64</f>
        <v>0</v>
      </c>
      <c r="O74" s="401" t="n">
        <f aca="false">O69+O64</f>
        <v>0</v>
      </c>
      <c r="P74" s="401" t="n">
        <f aca="false">P69+P64</f>
        <v>0</v>
      </c>
      <c r="Q74" s="401" t="n">
        <f aca="false">Q69+Q64</f>
        <v>0</v>
      </c>
      <c r="R74" s="401" t="n">
        <f aca="false">R69+R64</f>
        <v>0</v>
      </c>
      <c r="S74" s="401" t="n">
        <f aca="false">S69+S64</f>
        <v>0</v>
      </c>
      <c r="T74" s="401" t="n">
        <f aca="false">T69+T64</f>
        <v>0</v>
      </c>
      <c r="U74" s="401" t="n">
        <f aca="false">U69+U64</f>
        <v>0</v>
      </c>
      <c r="V74" s="401" t="n">
        <f aca="false">V69+V64</f>
        <v>0</v>
      </c>
      <c r="W74" s="401" t="n">
        <f aca="false">W69+W64</f>
        <v>0</v>
      </c>
      <c r="X74" s="401" t="n">
        <f aca="false">X69+X64</f>
        <v>0</v>
      </c>
      <c r="Y74" s="401" t="n">
        <f aca="false">Y69+Y64</f>
        <v>0</v>
      </c>
      <c r="Z74" s="401" t="n">
        <f aca="false">Z69+Z64</f>
        <v>0</v>
      </c>
      <c r="AA74" s="401" t="n">
        <f aca="false">AA69+AA64</f>
        <v>0</v>
      </c>
      <c r="AB74" s="401" t="n">
        <f aca="false">AB69+AB64</f>
        <v>0</v>
      </c>
      <c r="AC74" s="401" t="n">
        <f aca="false">AC69+AC64</f>
        <v>0</v>
      </c>
      <c r="AD74" s="401" t="n">
        <f aca="false">AD69+AD64</f>
        <v>0</v>
      </c>
      <c r="AE74" s="401" t="n">
        <f aca="false">AE69+AE64</f>
        <v>0</v>
      </c>
      <c r="AF74" s="401" t="n">
        <f aca="false">AF69+AF64</f>
        <v>0</v>
      </c>
      <c r="AG74" s="399"/>
      <c r="AH74" s="182"/>
    </row>
    <row r="75" customFormat="false" ht="12.75" hidden="false" customHeight="false" outlineLevel="0" collapsed="false"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</row>
    <row r="76" customFormat="false" ht="12.75" hidden="false" customHeight="false" outlineLevel="0" collapsed="false">
      <c r="AA76" s="1"/>
      <c r="AB76" s="1"/>
    </row>
    <row r="77" customFormat="false" ht="12.75" hidden="false" customHeight="false" outlineLevel="0" collapsed="false">
      <c r="A77" s="406" t="s">
        <v>227</v>
      </c>
      <c r="B77" s="407" t="n">
        <f aca="false">IS!C43</f>
        <v>6308.38152</v>
      </c>
      <c r="C77" s="407" t="n">
        <f aca="false">IS!D43</f>
        <v>9746.9239656</v>
      </c>
      <c r="D77" s="407" t="n">
        <f aca="false">IS!E43</f>
        <v>3993.515684568</v>
      </c>
      <c r="E77" s="407" t="n">
        <f aca="false">IS!F43</f>
        <v>10745.9789633645</v>
      </c>
      <c r="F77" s="407" t="n">
        <f aca="false">IS!G43</f>
        <v>11194.0044631072</v>
      </c>
      <c r="G77" s="407" t="n">
        <f aca="false">IS!H43</f>
        <v>11302.6744879844</v>
      </c>
      <c r="H77" s="407" t="n">
        <f aca="false">IS!I43</f>
        <v>11407.7942169293</v>
      </c>
      <c r="I77" s="407" t="n">
        <f aca="false">IS!J43</f>
        <v>11509.0528291638</v>
      </c>
      <c r="J77" s="407" t="n">
        <f aca="false">IS!K43</f>
        <v>11854.1875276387</v>
      </c>
      <c r="K77" s="407" t="n">
        <f aca="false">IS!L43</f>
        <v>11954.1708850269</v>
      </c>
      <c r="L77" s="407" t="n">
        <f aca="false">IS!M43</f>
        <v>12312.6591251778</v>
      </c>
      <c r="M77" s="407" t="n">
        <f aca="false">IS!N43</f>
        <v>12410.8363527259</v>
      </c>
      <c r="N77" s="407" t="n">
        <f aca="false">IS!O43</f>
        <v>12783.0245569077</v>
      </c>
      <c r="O77" s="407" t="n">
        <f aca="false">IS!P43</f>
        <v>12878.8048487254</v>
      </c>
      <c r="P77" s="407" t="n">
        <f aca="false">IS!Q43</f>
        <v>12968.8313425431</v>
      </c>
      <c r="Q77" s="407" t="n">
        <f aca="false">IS!R43</f>
        <v>13052.6726082179</v>
      </c>
      <c r="R77" s="407" t="n">
        <f aca="false">IS!S43</f>
        <v>13129.8765082169</v>
      </c>
      <c r="S77" s="407" t="n">
        <f aca="false">IS!T43</f>
        <v>13199.9693434605</v>
      </c>
      <c r="T77" s="407" t="n">
        <f aca="false">IS!U43</f>
        <v>13262.4549665533</v>
      </c>
      <c r="U77" s="407" t="n">
        <f aca="false">IS!V43</f>
        <v>13316.8138612146</v>
      </c>
      <c r="V77" s="407" t="n">
        <f aca="false">IS!W43</f>
        <v>13362.5021866776</v>
      </c>
      <c r="W77" s="407" t="n">
        <f aca="false">IS!X43</f>
        <v>13398.9507857853</v>
      </c>
      <c r="X77" s="407" t="n">
        <f aca="false">IS!Y43</f>
        <v>13432.7792112245</v>
      </c>
      <c r="Y77" s="407" t="n">
        <f aca="false">IS!Z43</f>
        <v>13463.9088577852</v>
      </c>
      <c r="Z77" s="407" t="n">
        <f aca="false">IS!AA43</f>
        <v>13492.258762101</v>
      </c>
      <c r="AA77" s="407" t="n">
        <f aca="false">IS!AB43</f>
        <v>13517.7455319045</v>
      </c>
      <c r="AB77" s="407" t="n">
        <f aca="false">IS!AC43</f>
        <v>13540.2832731604</v>
      </c>
      <c r="AC77" s="407" t="n">
        <f aca="false">IS!AD43</f>
        <v>13559.7835150123</v>
      </c>
      <c r="AD77" s="407" t="n">
        <f aca="false">IS!AE43</f>
        <v>13576.155132478</v>
      </c>
      <c r="AE77" s="407" t="n">
        <f aca="false">IS!AF43</f>
        <v>13589.304266826</v>
      </c>
      <c r="AF77" s="407" t="n">
        <f aca="false">IS!AG43</f>
        <v>13599.1342435627</v>
      </c>
      <c r="AG77" s="407"/>
      <c r="AH77" s="265"/>
      <c r="AI77" s="265"/>
      <c r="AJ77" s="265"/>
      <c r="AK77" s="265"/>
      <c r="AL77" s="265"/>
      <c r="AM77" s="265"/>
    </row>
    <row r="78" customFormat="false" ht="12.75" hidden="false" customHeight="false" outlineLevel="0" collapsed="false">
      <c r="A78" s="313"/>
      <c r="B78" s="408"/>
      <c r="C78" s="408"/>
      <c r="D78" s="408"/>
      <c r="E78" s="408"/>
      <c r="F78" s="408"/>
      <c r="G78" s="408"/>
      <c r="H78" s="408"/>
      <c r="I78" s="408"/>
      <c r="J78" s="408"/>
      <c r="K78" s="408"/>
      <c r="L78" s="408"/>
      <c r="M78" s="408"/>
      <c r="N78" s="408"/>
      <c r="O78" s="408"/>
      <c r="P78" s="408"/>
      <c r="Q78" s="408"/>
      <c r="R78" s="408"/>
      <c r="S78" s="408"/>
      <c r="T78" s="408"/>
      <c r="U78" s="408"/>
      <c r="V78" s="408"/>
      <c r="W78" s="408"/>
      <c r="X78" s="408"/>
      <c r="Y78" s="408"/>
      <c r="Z78" s="408"/>
      <c r="AA78" s="408"/>
      <c r="AB78" s="408"/>
      <c r="AC78" s="408"/>
      <c r="AD78" s="408"/>
      <c r="AE78" s="408"/>
      <c r="AF78" s="408"/>
      <c r="AG78" s="313"/>
      <c r="AH78" s="313"/>
      <c r="AI78" s="313"/>
      <c r="AJ78" s="313"/>
      <c r="AK78" s="313"/>
      <c r="AL78" s="313"/>
      <c r="AM78" s="313"/>
    </row>
    <row r="79" customFormat="false" ht="12.75" hidden="false" customHeight="false" outlineLevel="0" collapsed="false">
      <c r="A79" s="408" t="s">
        <v>327</v>
      </c>
      <c r="B79" s="408" t="n">
        <f aca="false">B32+B33+B37+B38</f>
        <v>8314.18877868454</v>
      </c>
      <c r="C79" s="408" t="n">
        <f aca="false">C32+C33+C37+C38</f>
        <v>11806.148065732</v>
      </c>
      <c r="D79" s="408" t="n">
        <f aca="false">D32+D33+D37+D38</f>
        <v>11495.7516846612</v>
      </c>
      <c r="E79" s="408" t="n">
        <f aca="false">E32+E33+E37+E38</f>
        <v>11185.3553035903</v>
      </c>
      <c r="F79" s="408" t="n">
        <f aca="false">F32+F33+F37+F38</f>
        <v>10874.9589225194</v>
      </c>
      <c r="G79" s="408" t="n">
        <f aca="false">G32+G33+G37+G38</f>
        <v>10564.5625414485</v>
      </c>
      <c r="H79" s="408" t="n">
        <f aca="false">H32+H33+H37+H38</f>
        <v>10254.1661603776</v>
      </c>
      <c r="I79" s="408" t="n">
        <f aca="false">I32+I33+I37+I38</f>
        <v>9943.7697793067</v>
      </c>
      <c r="J79" s="408" t="n">
        <f aca="false">J32+J33+J37+J38</f>
        <v>9633.37339823582</v>
      </c>
      <c r="K79" s="408" t="n">
        <f aca="false">K32+K33+K37+K38</f>
        <v>9322.97701716493</v>
      </c>
      <c r="L79" s="408" t="n">
        <f aca="false">L32+L33+L37+L38</f>
        <v>9012.58063609404</v>
      </c>
      <c r="M79" s="408" t="n">
        <f aca="false">M32+M33+M37+M38</f>
        <v>8702.18425502315</v>
      </c>
      <c r="N79" s="408" t="n">
        <f aca="false">N32+N33+N37+N38</f>
        <v>8391.78787395226</v>
      </c>
      <c r="O79" s="408" t="n">
        <f aca="false">O32+O33+O37+O38</f>
        <v>8081.39149288137</v>
      </c>
      <c r="P79" s="408" t="n">
        <f aca="false">P32+P33+P37+P38</f>
        <v>7770.99511181048</v>
      </c>
      <c r="Q79" s="408" t="n">
        <f aca="false">Q32+Q33+Q37+Q38</f>
        <v>7460.59873073959</v>
      </c>
      <c r="R79" s="408" t="n">
        <f aca="false">R32+R33+R37+R38</f>
        <v>7150.2023496687</v>
      </c>
      <c r="S79" s="408" t="n">
        <f aca="false">S32+S33+S37+S38</f>
        <v>6839.80596859781</v>
      </c>
      <c r="T79" s="408" t="n">
        <f aca="false">T32+T33+T37+T38</f>
        <v>6529.40958752692</v>
      </c>
      <c r="U79" s="408" t="n">
        <f aca="false">U32+U33+U37+U38</f>
        <v>6219.01320645603</v>
      </c>
      <c r="V79" s="408" t="n">
        <f aca="false">V32+V33+V37+V38</f>
        <v>5908.61682538514</v>
      </c>
      <c r="W79" s="408" t="n">
        <f aca="false">W32+W33+W37+W38</f>
        <v>1241.58552428355</v>
      </c>
      <c r="X79" s="408" t="n">
        <f aca="false">X32+X33+X37+X38</f>
        <v>1241.58552428355</v>
      </c>
      <c r="Y79" s="408" t="n">
        <f aca="false">Y32+Y33+Y37+Y38</f>
        <v>1241.58552428355</v>
      </c>
      <c r="Z79" s="408" t="n">
        <f aca="false">Z32+Z33+Z37+Z38</f>
        <v>1241.58552428355</v>
      </c>
      <c r="AA79" s="408" t="n">
        <f aca="false">AA32+AA33+AA37+AA38</f>
        <v>1241.58552428355</v>
      </c>
      <c r="AB79" s="408" t="n">
        <f aca="false">AB32+AB33+AB37+AB38</f>
        <v>1241.58552428355</v>
      </c>
      <c r="AC79" s="408" t="n">
        <f aca="false">AC32+AC33+AC37+AC38</f>
        <v>1241.58552428355</v>
      </c>
      <c r="AD79" s="408" t="n">
        <f aca="false">AD32+AD33+AD37+AD38</f>
        <v>1241.58552428355</v>
      </c>
      <c r="AE79" s="408" t="n">
        <f aca="false">AE32+AE33+AE37+AE38</f>
        <v>1241.58552428355</v>
      </c>
      <c r="AF79" s="408" t="n">
        <f aca="false">AF32+AF33+AF37+AF38</f>
        <v>1241.58552428355</v>
      </c>
      <c r="AG79" s="408"/>
      <c r="AH79" s="408"/>
      <c r="AI79" s="408"/>
      <c r="AJ79" s="408"/>
      <c r="AK79" s="408"/>
      <c r="AL79" s="408"/>
      <c r="AM79" s="408"/>
    </row>
    <row r="80" customFormat="false" ht="12.75" hidden="false" customHeight="false" outlineLevel="0" collapsed="false">
      <c r="A80" s="408" t="s">
        <v>328</v>
      </c>
      <c r="B80" s="408" t="n">
        <f aca="false">B48+B49+B53+B54</f>
        <v>0</v>
      </c>
      <c r="C80" s="408" t="n">
        <f aca="false">C48+C49+C53+C54</f>
        <v>0</v>
      </c>
      <c r="D80" s="408" t="n">
        <f aca="false">D48+D49+D53+D54</f>
        <v>0</v>
      </c>
      <c r="E80" s="408" t="n">
        <f aca="false">E48+E49+E53+E54</f>
        <v>0</v>
      </c>
      <c r="F80" s="408" t="n">
        <f aca="false">F48+F49+F53+F54</f>
        <v>0</v>
      </c>
      <c r="G80" s="408" t="n">
        <f aca="false">G48+G49+G53+G54</f>
        <v>0</v>
      </c>
      <c r="H80" s="408" t="n">
        <f aca="false">H48+H49+H53+H54</f>
        <v>0</v>
      </c>
      <c r="I80" s="408" t="n">
        <f aca="false">I48+I49+I53+I54</f>
        <v>0</v>
      </c>
      <c r="J80" s="408" t="n">
        <f aca="false">J48+J49+J53+J54</f>
        <v>0</v>
      </c>
      <c r="K80" s="408" t="n">
        <f aca="false">K48+K49+K53+K54</f>
        <v>0</v>
      </c>
      <c r="L80" s="408" t="n">
        <f aca="false">L48+L49+L53+L54</f>
        <v>0</v>
      </c>
      <c r="M80" s="408" t="n">
        <f aca="false">M48+M49+M53+M54</f>
        <v>0</v>
      </c>
      <c r="N80" s="408" t="n">
        <f aca="false">N48+N49+N53+N54</f>
        <v>0</v>
      </c>
      <c r="O80" s="408" t="n">
        <f aca="false">O48+O49+O53+O54</f>
        <v>0</v>
      </c>
      <c r="P80" s="408" t="n">
        <f aca="false">P48+P49+P53+P54</f>
        <v>0</v>
      </c>
      <c r="Q80" s="408" t="n">
        <f aca="false">Q48+Q49+Q53+Q54</f>
        <v>0</v>
      </c>
      <c r="R80" s="408" t="n">
        <f aca="false">R48+R49+R53+R54</f>
        <v>0</v>
      </c>
      <c r="S80" s="408" t="n">
        <f aca="false">S48+S49+S53+S54</f>
        <v>0</v>
      </c>
      <c r="T80" s="408" t="n">
        <f aca="false">T48+T49+T53+T54</f>
        <v>0</v>
      </c>
      <c r="U80" s="408" t="n">
        <f aca="false">U48+U49+U53+U54</f>
        <v>0</v>
      </c>
      <c r="V80" s="408" t="n">
        <f aca="false">V48+V49+V53+V54</f>
        <v>0</v>
      </c>
      <c r="W80" s="408" t="n">
        <f aca="false">W48+W49+W53+W54</f>
        <v>0</v>
      </c>
      <c r="X80" s="408" t="n">
        <f aca="false">X48+X49+X53+X54</f>
        <v>0</v>
      </c>
      <c r="Y80" s="408" t="n">
        <f aca="false">Y48+Y49+Y53+Y54</f>
        <v>0</v>
      </c>
      <c r="Z80" s="408" t="n">
        <f aca="false">Z48+Z49+Z53+Z54</f>
        <v>0</v>
      </c>
      <c r="AA80" s="408" t="n">
        <f aca="false">AA48+AA49+AA53+AA54</f>
        <v>0</v>
      </c>
      <c r="AB80" s="408" t="n">
        <f aca="false">AB48+AB49+AB53+AB54</f>
        <v>0</v>
      </c>
      <c r="AC80" s="408" t="n">
        <f aca="false">AC48+AC49+AC53+AC54</f>
        <v>0</v>
      </c>
      <c r="AD80" s="408" t="n">
        <f aca="false">AD48+AD49+AD53+AD54</f>
        <v>0</v>
      </c>
      <c r="AE80" s="408" t="n">
        <f aca="false">AE48+AE49+AE53+AE54</f>
        <v>0</v>
      </c>
      <c r="AF80" s="408" t="n">
        <f aca="false">AF48+AF49+AF53+AF54</f>
        <v>0</v>
      </c>
      <c r="AG80" s="408"/>
      <c r="AH80" s="408"/>
      <c r="AI80" s="408"/>
      <c r="AJ80" s="408"/>
      <c r="AK80" s="408"/>
      <c r="AL80" s="408"/>
      <c r="AM80" s="408"/>
    </row>
    <row r="81" customFormat="false" ht="12.75" hidden="false" customHeight="false" outlineLevel="0" collapsed="false">
      <c r="A81" s="408" t="s">
        <v>329</v>
      </c>
      <c r="B81" s="408" t="n">
        <f aca="false">B64+B65+B69+B70</f>
        <v>0</v>
      </c>
      <c r="C81" s="408" t="n">
        <f aca="false">C64+C65+C69+C70</f>
        <v>0</v>
      </c>
      <c r="D81" s="408" t="n">
        <f aca="false">D64+D65+D69+D70</f>
        <v>0</v>
      </c>
      <c r="E81" s="408" t="n">
        <f aca="false">E64+E65+E69+E70</f>
        <v>0</v>
      </c>
      <c r="F81" s="408" t="n">
        <f aca="false">F64+F65+F69+F70</f>
        <v>0</v>
      </c>
      <c r="G81" s="408" t="n">
        <f aca="false">G64+G65+G69+G70</f>
        <v>0</v>
      </c>
      <c r="H81" s="408" t="n">
        <f aca="false">H64+H65+H69+H70</f>
        <v>0</v>
      </c>
      <c r="I81" s="408" t="n">
        <f aca="false">I64+I65+I69+I70</f>
        <v>0</v>
      </c>
      <c r="J81" s="408" t="n">
        <f aca="false">J64+J65+J69+J70</f>
        <v>0</v>
      </c>
      <c r="K81" s="408" t="n">
        <f aca="false">K64+K65+K69+K70</f>
        <v>0</v>
      </c>
      <c r="L81" s="408" t="n">
        <f aca="false">L64+L65+L69+L70</f>
        <v>0</v>
      </c>
      <c r="M81" s="408" t="n">
        <f aca="false">M64+M65+M69+M70</f>
        <v>0</v>
      </c>
      <c r="N81" s="408" t="n">
        <f aca="false">N64+N65+N69+N70</f>
        <v>0</v>
      </c>
      <c r="O81" s="408" t="n">
        <f aca="false">O64+O65+O69+O70</f>
        <v>0</v>
      </c>
      <c r="P81" s="408" t="n">
        <f aca="false">P64+P65+P69+P70</f>
        <v>0</v>
      </c>
      <c r="Q81" s="408" t="n">
        <f aca="false">Q64+Q65+Q69+Q70</f>
        <v>0</v>
      </c>
      <c r="R81" s="408" t="n">
        <f aca="false">R64+R65+R69+R70</f>
        <v>0</v>
      </c>
      <c r="S81" s="408" t="n">
        <f aca="false">S64+S65+S69+S70</f>
        <v>0</v>
      </c>
      <c r="T81" s="408" t="n">
        <f aca="false">T64+T65+T69+T70</f>
        <v>0</v>
      </c>
      <c r="U81" s="408" t="n">
        <f aca="false">U64+U65+U69+U70</f>
        <v>0</v>
      </c>
      <c r="V81" s="408" t="n">
        <f aca="false">V64+V65+V69+V70</f>
        <v>0</v>
      </c>
      <c r="W81" s="408" t="n">
        <f aca="false">W64+W65+W69+W70</f>
        <v>0</v>
      </c>
      <c r="X81" s="408" t="n">
        <f aca="false">X64+X65+X69+X70</f>
        <v>0</v>
      </c>
      <c r="Y81" s="408" t="n">
        <f aca="false">Y64+Y65+Y69+Y70</f>
        <v>0</v>
      </c>
      <c r="Z81" s="408" t="n">
        <f aca="false">Z64+Z65+Z69+Z70</f>
        <v>0</v>
      </c>
      <c r="AA81" s="408" t="n">
        <f aca="false">AA64+AA65+AA69+AA70</f>
        <v>0</v>
      </c>
      <c r="AB81" s="408" t="n">
        <f aca="false">AB64+AB65+AB69+AB70</f>
        <v>0</v>
      </c>
      <c r="AC81" s="408" t="n">
        <f aca="false">AC64+AC65+AC69+AC70</f>
        <v>0</v>
      </c>
      <c r="AD81" s="408" t="n">
        <f aca="false">AD64+AD65+AD69+AD70</f>
        <v>0</v>
      </c>
      <c r="AE81" s="408" t="n">
        <f aca="false">AE64+AE65+AE69+AE70</f>
        <v>0</v>
      </c>
      <c r="AF81" s="408" t="n">
        <f aca="false">AF64+AF65+AF69+AF70</f>
        <v>0</v>
      </c>
      <c r="AG81" s="408"/>
      <c r="AH81" s="408"/>
      <c r="AI81" s="408"/>
      <c r="AJ81" s="408"/>
      <c r="AK81" s="408"/>
      <c r="AL81" s="408"/>
      <c r="AM81" s="408"/>
    </row>
    <row r="82" customFormat="false" ht="12.75" hidden="false" customHeight="false" outlineLevel="0" collapsed="false">
      <c r="A82" s="313" t="s">
        <v>330</v>
      </c>
      <c r="B82" s="409" t="n">
        <v>0</v>
      </c>
      <c r="C82" s="409" t="n">
        <v>0</v>
      </c>
      <c r="D82" s="410" t="n">
        <v>0</v>
      </c>
      <c r="E82" s="410" t="n">
        <v>0</v>
      </c>
      <c r="F82" s="410" t="n">
        <v>0</v>
      </c>
      <c r="G82" s="410" t="n">
        <v>0</v>
      </c>
      <c r="H82" s="410" t="n">
        <v>0</v>
      </c>
      <c r="I82" s="410" t="n">
        <v>0</v>
      </c>
      <c r="J82" s="410" t="n">
        <v>0</v>
      </c>
      <c r="K82" s="410" t="n">
        <v>0</v>
      </c>
      <c r="L82" s="410" t="n">
        <v>0</v>
      </c>
      <c r="M82" s="410" t="n">
        <v>0</v>
      </c>
      <c r="N82" s="410" t="n">
        <v>0</v>
      </c>
      <c r="O82" s="410" t="n">
        <v>0</v>
      </c>
      <c r="P82" s="410" t="n">
        <v>0</v>
      </c>
      <c r="Q82" s="410" t="n">
        <v>0</v>
      </c>
      <c r="R82" s="410" t="n">
        <v>0</v>
      </c>
      <c r="S82" s="410" t="n">
        <v>0</v>
      </c>
      <c r="T82" s="410" t="n">
        <v>0</v>
      </c>
      <c r="U82" s="410" t="n">
        <v>0</v>
      </c>
      <c r="V82" s="410" t="n">
        <v>0</v>
      </c>
      <c r="W82" s="410" t="n">
        <v>0</v>
      </c>
      <c r="X82" s="410" t="n">
        <v>0</v>
      </c>
      <c r="Y82" s="410" t="n">
        <v>0</v>
      </c>
      <c r="Z82" s="410" t="n">
        <v>0</v>
      </c>
      <c r="AA82" s="410" t="n">
        <v>0</v>
      </c>
      <c r="AB82" s="410" t="n">
        <v>0</v>
      </c>
      <c r="AC82" s="410" t="n">
        <v>0</v>
      </c>
      <c r="AD82" s="410" t="n">
        <v>0</v>
      </c>
      <c r="AE82" s="410" t="n">
        <v>0</v>
      </c>
      <c r="AF82" s="410" t="n">
        <v>0</v>
      </c>
      <c r="AG82" s="408"/>
      <c r="AH82" s="408"/>
      <c r="AI82" s="408"/>
      <c r="AJ82" s="408"/>
      <c r="AK82" s="408"/>
      <c r="AL82" s="408"/>
      <c r="AM82" s="408"/>
    </row>
    <row r="83" customFormat="false" ht="12.75" hidden="false" customHeight="false" outlineLevel="0" collapsed="false">
      <c r="B83" s="399"/>
      <c r="C83" s="399"/>
      <c r="D83" s="399"/>
      <c r="E83" s="399"/>
      <c r="F83" s="399"/>
      <c r="G83" s="399"/>
      <c r="H83" s="399"/>
      <c r="I83" s="399"/>
      <c r="J83" s="399"/>
      <c r="K83" s="399"/>
      <c r="L83" s="399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408"/>
      <c r="AH83" s="408"/>
      <c r="AI83" s="408"/>
      <c r="AJ83" s="408"/>
      <c r="AK83" s="408"/>
      <c r="AL83" s="408"/>
      <c r="AM83" s="408"/>
    </row>
    <row r="84" customFormat="false" ht="12.75" hidden="false" customHeight="false" outlineLevel="0" collapsed="false">
      <c r="A84" s="402" t="s">
        <v>331</v>
      </c>
      <c r="B84" s="402" t="n">
        <f aca="false">SUM(B79:B81)-B82</f>
        <v>8314.18877868454</v>
      </c>
      <c r="C84" s="402" t="n">
        <f aca="false">SUM(C79:C81)-C82</f>
        <v>11806.148065732</v>
      </c>
      <c r="D84" s="402" t="n">
        <f aca="false">SUM(D79:D81)-D82</f>
        <v>11495.7516846612</v>
      </c>
      <c r="E84" s="402" t="n">
        <f aca="false">SUM(E79:E81)-E82</f>
        <v>11185.3553035903</v>
      </c>
      <c r="F84" s="402" t="n">
        <f aca="false">SUM(F79:F81)-F82</f>
        <v>10874.9589225194</v>
      </c>
      <c r="G84" s="402" t="n">
        <f aca="false">SUM(G79:G81)-G82</f>
        <v>10564.5625414485</v>
      </c>
      <c r="H84" s="402" t="n">
        <f aca="false">SUM(H79:H81)-H82</f>
        <v>10254.1661603776</v>
      </c>
      <c r="I84" s="402" t="n">
        <f aca="false">SUM(I79:I81)-I82</f>
        <v>9943.7697793067</v>
      </c>
      <c r="J84" s="402" t="n">
        <f aca="false">SUM(J79:J81)-J82</f>
        <v>9633.37339823582</v>
      </c>
      <c r="K84" s="402" t="n">
        <f aca="false">SUM(K79:K81)-K82</f>
        <v>9322.97701716493</v>
      </c>
      <c r="L84" s="402" t="n">
        <f aca="false">SUM(L79:L81)-L82</f>
        <v>9012.58063609404</v>
      </c>
      <c r="M84" s="402" t="n">
        <f aca="false">SUM(M79:M81)-M82</f>
        <v>8702.18425502315</v>
      </c>
      <c r="N84" s="402" t="n">
        <f aca="false">SUM(N79:N81)-N82</f>
        <v>8391.78787395226</v>
      </c>
      <c r="O84" s="402" t="n">
        <f aca="false">SUM(O79:O81)-O82</f>
        <v>8081.39149288137</v>
      </c>
      <c r="P84" s="402" t="n">
        <f aca="false">SUM(P79:P81)-P82</f>
        <v>7770.99511181048</v>
      </c>
      <c r="Q84" s="402" t="n">
        <f aca="false">SUM(Q79:Q81)-Q82</f>
        <v>7460.59873073959</v>
      </c>
      <c r="R84" s="402" t="n">
        <f aca="false">SUM(R79:R81)-R82</f>
        <v>7150.2023496687</v>
      </c>
      <c r="S84" s="402" t="n">
        <f aca="false">SUM(S79:S81)-S82</f>
        <v>6839.80596859781</v>
      </c>
      <c r="T84" s="402" t="n">
        <f aca="false">SUM(T79:T81)-T82</f>
        <v>6529.40958752692</v>
      </c>
      <c r="U84" s="402" t="n">
        <f aca="false">SUM(U79:U81)-U82</f>
        <v>6219.01320645603</v>
      </c>
      <c r="V84" s="402" t="n">
        <f aca="false">SUM(V79:V81)-V82</f>
        <v>5908.61682538514</v>
      </c>
      <c r="W84" s="402" t="n">
        <f aca="false">SUM(W79:W81)-W82</f>
        <v>1241.58552428355</v>
      </c>
      <c r="X84" s="402" t="n">
        <f aca="false">SUM(X79:X81)-X82</f>
        <v>1241.58552428355</v>
      </c>
      <c r="Y84" s="402" t="n">
        <f aca="false">SUM(Y79:Y81)-Y82</f>
        <v>1241.58552428355</v>
      </c>
      <c r="Z84" s="402" t="n">
        <f aca="false">SUM(Z79:Z81)-Z82</f>
        <v>1241.58552428355</v>
      </c>
      <c r="AA84" s="402" t="n">
        <f aca="false">SUM(AA79:AA81)-AA82</f>
        <v>1241.58552428355</v>
      </c>
      <c r="AB84" s="402" t="n">
        <f aca="false">SUM(AB79:AB81)-AB82</f>
        <v>1241.58552428355</v>
      </c>
      <c r="AC84" s="402" t="n">
        <f aca="false">SUM(AC79:AC81)-AC82</f>
        <v>1241.58552428355</v>
      </c>
      <c r="AD84" s="402" t="n">
        <f aca="false">SUM(AD79:AD81)-AD82</f>
        <v>1241.58552428355</v>
      </c>
      <c r="AE84" s="402" t="n">
        <f aca="false">SUM(AE79:AE81)-AE82</f>
        <v>1241.58552428355</v>
      </c>
      <c r="AF84" s="402" t="n">
        <f aca="false">SUM(AF79:AF81)-AF82</f>
        <v>1241.58552428355</v>
      </c>
      <c r="AG84" s="402"/>
      <c r="AH84" s="402"/>
      <c r="AI84" s="402"/>
      <c r="AJ84" s="402"/>
      <c r="AK84" s="402"/>
      <c r="AL84" s="402"/>
      <c r="AM84" s="402"/>
    </row>
    <row r="85" customFormat="false" ht="12.75" hidden="false" customHeight="false" outlineLevel="0" collapsed="false">
      <c r="A85" s="402"/>
      <c r="B85" s="402"/>
      <c r="C85" s="402"/>
      <c r="D85" s="402"/>
      <c r="E85" s="402"/>
      <c r="F85" s="402"/>
      <c r="G85" s="402"/>
      <c r="H85" s="402"/>
      <c r="I85" s="402"/>
      <c r="J85" s="402"/>
      <c r="K85" s="402"/>
      <c r="L85" s="402"/>
      <c r="M85" s="402"/>
      <c r="N85" s="402"/>
      <c r="O85" s="402"/>
      <c r="P85" s="402"/>
      <c r="Q85" s="402"/>
      <c r="R85" s="402"/>
      <c r="S85" s="402"/>
      <c r="T85" s="402"/>
      <c r="U85" s="402"/>
      <c r="V85" s="402"/>
      <c r="W85" s="402"/>
      <c r="X85" s="402"/>
      <c r="Y85" s="402"/>
      <c r="Z85" s="402"/>
      <c r="AA85" s="402"/>
      <c r="AB85" s="402"/>
      <c r="AC85" s="402"/>
      <c r="AD85" s="402"/>
      <c r="AE85" s="402"/>
      <c r="AF85" s="402"/>
      <c r="AG85" s="402"/>
      <c r="AH85" s="402"/>
      <c r="AI85" s="402"/>
      <c r="AJ85" s="402"/>
      <c r="AK85" s="402"/>
      <c r="AL85" s="402"/>
      <c r="AM85" s="402"/>
    </row>
    <row r="86" customFormat="false" ht="12.75" hidden="false" customHeight="false" outlineLevel="0" collapsed="false">
      <c r="A86" s="402" t="s">
        <v>332</v>
      </c>
      <c r="B86" s="402" t="n">
        <f aca="false">B41+B57+B73</f>
        <v>3879.95476338612</v>
      </c>
      <c r="C86" s="402" t="n">
        <f aca="false">C41+C57+C73</f>
        <v>7371.91405043362</v>
      </c>
      <c r="D86" s="402" t="n">
        <f aca="false">D41+D57+D73</f>
        <v>7061.51766936273</v>
      </c>
      <c r="E86" s="402" t="n">
        <f aca="false">E41+E57+E73</f>
        <v>6751.12128829184</v>
      </c>
      <c r="F86" s="402" t="n">
        <f aca="false">F41+F57+F73</f>
        <v>6440.72490722095</v>
      </c>
      <c r="G86" s="402" t="n">
        <f aca="false">G41+G57+G73</f>
        <v>6130.32852615006</v>
      </c>
      <c r="H86" s="402" t="n">
        <f aca="false">H41+H57+H73</f>
        <v>5819.93214507917</v>
      </c>
      <c r="I86" s="402" t="n">
        <f aca="false">I41+I57+I73</f>
        <v>5509.53576400828</v>
      </c>
      <c r="J86" s="402" t="n">
        <f aca="false">J41+J57+J73</f>
        <v>5199.1393829374</v>
      </c>
      <c r="K86" s="402" t="n">
        <f aca="false">K41+K57+K73</f>
        <v>4888.74300186651</v>
      </c>
      <c r="L86" s="402" t="n">
        <f aca="false">L41+L57+L73</f>
        <v>4578.34662079562</v>
      </c>
      <c r="M86" s="402" t="n">
        <f aca="false">M41+M57+M73</f>
        <v>4267.95023972473</v>
      </c>
      <c r="N86" s="402" t="n">
        <f aca="false">N41+N57+N73</f>
        <v>3957.55385865384</v>
      </c>
      <c r="O86" s="402" t="n">
        <f aca="false">O41+O57+O73</f>
        <v>3647.15747758295</v>
      </c>
      <c r="P86" s="402" t="n">
        <f aca="false">P41+P57+P73</f>
        <v>3336.76109651206</v>
      </c>
      <c r="Q86" s="402" t="n">
        <f aca="false">Q41+Q57+Q73</f>
        <v>3026.36471544117</v>
      </c>
      <c r="R86" s="402" t="n">
        <f aca="false">R41+R57+R73</f>
        <v>2715.96833437028</v>
      </c>
      <c r="S86" s="402" t="n">
        <f aca="false">S41+S57+S73</f>
        <v>2405.57195329939</v>
      </c>
      <c r="T86" s="402" t="n">
        <f aca="false">T41+T57+T73</f>
        <v>2095.1755722285</v>
      </c>
      <c r="U86" s="402" t="n">
        <f aca="false">U41+U57+U73</f>
        <v>1784.77919115761</v>
      </c>
      <c r="V86" s="402" t="n">
        <f aca="false">V41+V57+V73</f>
        <v>1474.38281008672</v>
      </c>
      <c r="W86" s="402" t="n">
        <f aca="false">W41+W57+W73</f>
        <v>1241.58552428355</v>
      </c>
      <c r="X86" s="402" t="n">
        <f aca="false">X41+X57+X73</f>
        <v>1241.58552428355</v>
      </c>
      <c r="Y86" s="402" t="n">
        <f aca="false">Y41+Y57+Y73</f>
        <v>1241.58552428355</v>
      </c>
      <c r="Z86" s="402" t="n">
        <f aca="false">Z41+Z57+Z73</f>
        <v>1241.58552428355</v>
      </c>
      <c r="AA86" s="402" t="n">
        <f aca="false">AA41+AA57+AA73</f>
        <v>1241.58552428355</v>
      </c>
      <c r="AB86" s="402" t="n">
        <f aca="false">AB41+AB57+AB73</f>
        <v>1241.58552428355</v>
      </c>
      <c r="AC86" s="402" t="n">
        <f aca="false">AC41+AC57+AC73</f>
        <v>1241.58552428355</v>
      </c>
      <c r="AD86" s="402" t="n">
        <f aca="false">AD41+AD57+AD73</f>
        <v>1241.58552428355</v>
      </c>
      <c r="AE86" s="402" t="n">
        <f aca="false">AE41+AE57+AE73</f>
        <v>1241.58552428355</v>
      </c>
      <c r="AF86" s="402" t="n">
        <f aca="false">AF41+AF57+AF73</f>
        <v>1241.58552428355</v>
      </c>
      <c r="AG86" s="402"/>
      <c r="AH86" s="402"/>
      <c r="AI86" s="402"/>
      <c r="AJ86" s="402"/>
      <c r="AK86" s="402"/>
      <c r="AL86" s="402"/>
      <c r="AM86" s="402"/>
    </row>
    <row r="87" customFormat="false" ht="12.75" hidden="false" customHeight="false" outlineLevel="0" collapsed="false">
      <c r="A87" s="402" t="s">
        <v>333</v>
      </c>
      <c r="B87" s="402" t="n">
        <f aca="false">B74+B58+B42</f>
        <v>4434.23401529842</v>
      </c>
      <c r="C87" s="402" t="n">
        <f aca="false">C74+C58+C42</f>
        <v>4434.23401529842</v>
      </c>
      <c r="D87" s="402" t="n">
        <f aca="false">D74+D58+D42</f>
        <v>4434.23401529842</v>
      </c>
      <c r="E87" s="402" t="n">
        <f aca="false">E74+E58+E42</f>
        <v>4434.23401529842</v>
      </c>
      <c r="F87" s="402" t="n">
        <f aca="false">F74+F58+F42</f>
        <v>4434.23401529842</v>
      </c>
      <c r="G87" s="402" t="n">
        <f aca="false">G74+G58+G42</f>
        <v>4434.23401529842</v>
      </c>
      <c r="H87" s="402" t="n">
        <f aca="false">H74+H58+H42</f>
        <v>4434.23401529842</v>
      </c>
      <c r="I87" s="402" t="n">
        <f aca="false">I74+I58+I42</f>
        <v>4434.23401529842</v>
      </c>
      <c r="J87" s="402" t="n">
        <f aca="false">J74+J58+J42</f>
        <v>4434.23401529842</v>
      </c>
      <c r="K87" s="402" t="n">
        <f aca="false">K74+K58+K42</f>
        <v>4434.23401529842</v>
      </c>
      <c r="L87" s="402" t="n">
        <f aca="false">L74+L58+L42</f>
        <v>4434.23401529842</v>
      </c>
      <c r="M87" s="402" t="n">
        <f aca="false">M74+M58+M42</f>
        <v>4434.23401529842</v>
      </c>
      <c r="N87" s="402" t="n">
        <f aca="false">N74+N58+N42</f>
        <v>4434.23401529842</v>
      </c>
      <c r="O87" s="402" t="n">
        <f aca="false">O74+O58+O42</f>
        <v>4434.23401529842</v>
      </c>
      <c r="P87" s="402" t="n">
        <f aca="false">P74+P58+P42</f>
        <v>4434.23401529842</v>
      </c>
      <c r="Q87" s="402" t="n">
        <f aca="false">Q74+Q58+Q42</f>
        <v>4434.23401529842</v>
      </c>
      <c r="R87" s="402" t="n">
        <f aca="false">R74+R58+R42</f>
        <v>4434.23401529842</v>
      </c>
      <c r="S87" s="402" t="n">
        <f aca="false">S74+S58+S42</f>
        <v>4434.23401529842</v>
      </c>
      <c r="T87" s="402" t="n">
        <f aca="false">T74+T58+T42</f>
        <v>4434.23401529842</v>
      </c>
      <c r="U87" s="402" t="n">
        <f aca="false">U74+U58+U42</f>
        <v>4434.23401529842</v>
      </c>
      <c r="V87" s="402" t="n">
        <f aca="false">V74+V58+V42</f>
        <v>4434.23401529842</v>
      </c>
      <c r="W87" s="402" t="n">
        <f aca="false">W74+W58+W42</f>
        <v>0</v>
      </c>
      <c r="X87" s="402" t="n">
        <f aca="false">X74+X58+X42</f>
        <v>0</v>
      </c>
      <c r="Y87" s="402" t="n">
        <f aca="false">Y74+Y58+Y42</f>
        <v>0</v>
      </c>
      <c r="Z87" s="402" t="n">
        <f aca="false">Z74+Z58+Z42</f>
        <v>0</v>
      </c>
      <c r="AA87" s="402" t="n">
        <f aca="false">AA74+AA58+AA42</f>
        <v>0</v>
      </c>
      <c r="AB87" s="402" t="n">
        <f aca="false">AB74+AB58+AB42</f>
        <v>0</v>
      </c>
      <c r="AC87" s="402" t="n">
        <f aca="false">AC74+AC58+AC42</f>
        <v>0</v>
      </c>
      <c r="AD87" s="402" t="n">
        <f aca="false">AD74+AD58+AD42</f>
        <v>0</v>
      </c>
      <c r="AE87" s="402" t="n">
        <f aca="false">AE74+AE58+AE42</f>
        <v>0</v>
      </c>
      <c r="AF87" s="402" t="n">
        <f aca="false">AF74+AF58+AF42</f>
        <v>0</v>
      </c>
      <c r="AG87" s="402"/>
      <c r="AH87" s="402"/>
      <c r="AI87" s="402"/>
      <c r="AJ87" s="402"/>
      <c r="AK87" s="402"/>
      <c r="AL87" s="402"/>
      <c r="AM87" s="402"/>
    </row>
    <row r="88" customFormat="false" ht="12.75" hidden="false" customHeight="false" outlineLevel="0" collapsed="false">
      <c r="A88" s="408"/>
      <c r="B88" s="408"/>
      <c r="C88" s="408"/>
      <c r="D88" s="408"/>
      <c r="E88" s="408"/>
      <c r="F88" s="0"/>
      <c r="G88" s="408"/>
      <c r="H88" s="408"/>
      <c r="I88" s="408"/>
      <c r="J88" s="408"/>
      <c r="K88" s="408"/>
      <c r="L88" s="408"/>
      <c r="M88" s="408"/>
      <c r="N88" s="408"/>
      <c r="O88" s="408"/>
      <c r="P88" s="408"/>
      <c r="Q88" s="408"/>
      <c r="R88" s="408"/>
      <c r="S88" s="408"/>
      <c r="T88" s="408"/>
      <c r="U88" s="408"/>
      <c r="V88" s="408"/>
      <c r="W88" s="408"/>
      <c r="X88" s="408"/>
      <c r="Y88" s="408"/>
      <c r="Z88" s="408"/>
      <c r="AA88" s="408"/>
      <c r="AB88" s="408"/>
      <c r="AC88" s="408"/>
      <c r="AD88" s="408"/>
      <c r="AE88" s="408"/>
      <c r="AF88" s="408"/>
      <c r="AG88" s="408"/>
      <c r="AH88" s="408"/>
      <c r="AI88" s="408"/>
      <c r="AJ88" s="408"/>
      <c r="AK88" s="408"/>
      <c r="AL88" s="408"/>
      <c r="AM88" s="408"/>
    </row>
    <row r="89" customFormat="false" ht="12.75" hidden="false" customHeight="false" outlineLevel="0" collapsed="false">
      <c r="A89" s="411" t="s">
        <v>334</v>
      </c>
      <c r="B89" s="412" t="n">
        <f aca="false">IF(B84&gt;0,B77/B84," ")</f>
        <v>0.758748891554289</v>
      </c>
      <c r="C89" s="412" t="n">
        <f aca="false">IF(C84&gt;0,C77/C84," ")</f>
        <v>0.825580359600177</v>
      </c>
      <c r="D89" s="412" t="n">
        <f aca="false">IF(D84&gt;0,D77/D84," ")</f>
        <v>0.347390566020713</v>
      </c>
      <c r="E89" s="412" t="n">
        <f aca="false">IF(E84&gt;0,E77/E84," ")</f>
        <v>0.960718606758542</v>
      </c>
      <c r="F89" s="412" t="n">
        <f aca="false">IF(F84&gt;0,F77/F84," ")</f>
        <v>1.02933763178886</v>
      </c>
      <c r="G89" s="412" t="n">
        <f aca="false">IF(G84&gt;0,G77/G84," ")</f>
        <v>1.06986677807434</v>
      </c>
      <c r="H89" s="412" t="n">
        <f aca="false">IF(H84&gt;0,H77/H84," ")</f>
        <v>1.11250335117539</v>
      </c>
      <c r="I89" s="412" t="n">
        <f aca="false">IF(I84&gt;0,I77/I84," ")</f>
        <v>1.15741344425677</v>
      </c>
      <c r="J89" s="412" t="n">
        <f aca="false">IF(J84&gt;0,J77/J84," ")</f>
        <v>1.23053337990714</v>
      </c>
      <c r="K89" s="412" t="n">
        <f aca="false">IF(K84&gt;0,K77/K84," ")</f>
        <v>1.28222678904149</v>
      </c>
      <c r="L89" s="412" t="n">
        <f aca="false">IF(L84&gt;0,L77/L84," ")</f>
        <v>1.36616354652822</v>
      </c>
      <c r="M89" s="412" t="n">
        <f aca="false">IF(M84&gt;0,M77/M84," ")</f>
        <v>1.42617485323435</v>
      </c>
      <c r="N89" s="412" t="n">
        <f aca="false">IF(N84&gt;0,N77/N84," ")</f>
        <v>1.52327784602202</v>
      </c>
      <c r="O89" s="412" t="n">
        <f aca="false">IF(O84&gt;0,O77/O84," ")</f>
        <v>1.59363704382716</v>
      </c>
      <c r="P89" s="412" t="n">
        <f aca="false">IF(P84&gt;0,P77/P84," ")</f>
        <v>1.66887652815955</v>
      </c>
      <c r="Q89" s="412" t="n">
        <f aca="false">IF(Q84&gt;0,Q77/Q84," ")</f>
        <v>1.74954760057494</v>
      </c>
      <c r="R89" s="412" t="n">
        <f aca="false">IF(R84&gt;0,R77/R84," ")</f>
        <v>1.83629439645513</v>
      </c>
      <c r="S89" s="412" t="n">
        <f aca="false">IF(S84&gt;0,S77/S84," ")</f>
        <v>1.92987482452906</v>
      </c>
      <c r="T89" s="412" t="n">
        <f aca="false">IF(T84&gt;0,T77/T84," ")</f>
        <v>2.03118747396219</v>
      </c>
      <c r="U89" s="412" t="n">
        <f aca="false">IF(U84&gt;0,U77/U84," ")</f>
        <v>2.14130657374875</v>
      </c>
      <c r="V89" s="412" t="n">
        <f aca="false">IF(V84&gt;1,V77/V84," ")</f>
        <v>2.26152796527072</v>
      </c>
      <c r="W89" s="413" t="n">
        <f aca="false">IF(W84&gt;1,W77/W84," ")</f>
        <v>10.7918065439085</v>
      </c>
      <c r="X89" s="412" t="n">
        <f aca="false">IF(X84&gt;1,X77/X84," ")</f>
        <v>10.8190526939139</v>
      </c>
      <c r="Y89" s="413" t="n">
        <f aca="false">IF(Y84&gt;1,Y77/Y84," ")</f>
        <v>10.8441251886812</v>
      </c>
      <c r="Z89" s="412" t="n">
        <f aca="false">IF(Z84&gt;1,Z77/Z84," ")</f>
        <v>10.8669588185531</v>
      </c>
      <c r="AA89" s="413" t="n">
        <f aca="false">IF(AA84&gt;1,AA77/AA84," ")</f>
        <v>10.8874864175827</v>
      </c>
      <c r="AB89" s="412" t="n">
        <f aca="false">IF(AB84&gt;1,AB77/AB84," ")</f>
        <v>10.9056388048449</v>
      </c>
      <c r="AC89" s="413" t="n">
        <f aca="false">IF(AC84&gt;1,AC77/AC84," ")</f>
        <v>10.9213447239866</v>
      </c>
      <c r="AD89" s="412" t="n">
        <f aca="false">IF(AD84&gt;1,AD77/AD84," ")</f>
        <v>10.9345307809642</v>
      </c>
      <c r="AE89" s="413" t="n">
        <f aca="false">IF(AE84&gt;1,AE77/AE84," ")</f>
        <v>10.9451213799127</v>
      </c>
      <c r="AF89" s="412" t="n">
        <f aca="false">IF(AF84&gt;1,AF77/AF84," ")</f>
        <v>10.9530386570913</v>
      </c>
      <c r="AG89" s="388"/>
      <c r="AH89" s="388"/>
      <c r="AI89" s="388"/>
      <c r="AJ89" s="388"/>
      <c r="AK89" s="388"/>
      <c r="AL89" s="388"/>
      <c r="AM89" s="388"/>
    </row>
    <row r="90" customFormat="false" ht="12.75" hidden="false" customHeight="false" outlineLevel="0" collapsed="false">
      <c r="A90" s="414"/>
      <c r="B90" s="415"/>
      <c r="C90" s="415"/>
      <c r="D90" s="415"/>
      <c r="E90" s="415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0"/>
      <c r="X90" s="39"/>
      <c r="Y90" s="0"/>
      <c r="Z90" s="39"/>
      <c r="AA90" s="0"/>
      <c r="AB90" s="39"/>
      <c r="AC90" s="0"/>
      <c r="AD90" s="39"/>
      <c r="AE90" s="0"/>
      <c r="AF90" s="39"/>
      <c r="AG90" s="388"/>
      <c r="AH90" s="388"/>
      <c r="AI90" s="388"/>
      <c r="AJ90" s="388"/>
      <c r="AK90" s="388"/>
      <c r="AL90" s="388"/>
      <c r="AM90" s="388"/>
    </row>
    <row r="91" customFormat="false" ht="12.75" hidden="false" customHeight="false" outlineLevel="0" collapsed="false">
      <c r="A91" s="414"/>
      <c r="B91" s="416"/>
      <c r="C91" s="416"/>
      <c r="D91" s="416"/>
      <c r="E91" s="416"/>
      <c r="F91" s="416"/>
      <c r="G91" s="416"/>
      <c r="H91" s="416"/>
      <c r="I91" s="416"/>
      <c r="J91" s="416"/>
      <c r="K91" s="416"/>
      <c r="L91" s="416"/>
      <c r="M91" s="416"/>
      <c r="N91" s="416"/>
      <c r="O91" s="416"/>
      <c r="P91" s="416"/>
      <c r="Q91" s="416"/>
      <c r="R91" s="416"/>
      <c r="S91" s="416"/>
      <c r="T91" s="416"/>
      <c r="U91" s="416"/>
      <c r="V91" s="416"/>
      <c r="W91" s="0"/>
      <c r="X91" s="416"/>
      <c r="Y91" s="0"/>
      <c r="Z91" s="416"/>
      <c r="AA91" s="0"/>
      <c r="AB91" s="416"/>
      <c r="AC91" s="0"/>
      <c r="AD91" s="416"/>
      <c r="AE91" s="0"/>
      <c r="AF91" s="416"/>
      <c r="AG91" s="388"/>
      <c r="AH91" s="388"/>
      <c r="AI91" s="388"/>
      <c r="AJ91" s="388"/>
      <c r="AK91" s="388"/>
      <c r="AL91" s="388"/>
      <c r="AM91" s="388"/>
    </row>
    <row r="92" customFormat="false" ht="12.75" hidden="false" customHeight="false" outlineLevel="0" collapsed="false">
      <c r="A92" s="364" t="s">
        <v>335</v>
      </c>
      <c r="B92" s="417" t="n">
        <f aca="false">AVERAGE(B89:W89)</f>
        <v>1.82245431792719</v>
      </c>
      <c r="C92" s="0"/>
      <c r="F92" s="388"/>
      <c r="G92" s="0"/>
      <c r="H92" s="0"/>
      <c r="I92" s="0"/>
      <c r="J92" s="0"/>
      <c r="K92" s="388"/>
      <c r="L92" s="388"/>
      <c r="M92" s="418"/>
      <c r="N92" s="388"/>
      <c r="O92" s="388"/>
      <c r="P92" s="419"/>
      <c r="Q92" s="419"/>
      <c r="R92" s="419"/>
      <c r="S92" s="388"/>
      <c r="T92" s="388"/>
      <c r="U92" s="388"/>
      <c r="V92" s="388"/>
      <c r="W92" s="0"/>
      <c r="X92" s="388"/>
      <c r="Y92" s="0"/>
      <c r="Z92" s="388"/>
      <c r="AA92" s="0"/>
      <c r="AB92" s="388"/>
      <c r="AC92" s="0"/>
      <c r="AD92" s="388"/>
      <c r="AE92" s="0"/>
      <c r="AF92" s="388"/>
      <c r="AG92" s="388"/>
      <c r="AH92" s="388"/>
      <c r="AI92" s="388"/>
      <c r="AJ92" s="388"/>
      <c r="AK92" s="388"/>
      <c r="AL92" s="388"/>
      <c r="AM92" s="388"/>
    </row>
    <row r="93" customFormat="false" ht="12.75" hidden="false" customHeight="false" outlineLevel="0" collapsed="false">
      <c r="A93" s="369" t="s">
        <v>336</v>
      </c>
      <c r="B93" s="420" t="n">
        <f aca="false">MIN(B89:W89)</f>
        <v>0.347390566020713</v>
      </c>
      <c r="C93" s="0"/>
      <c r="F93" s="414"/>
      <c r="G93" s="0"/>
      <c r="H93" s="0"/>
      <c r="I93" s="0"/>
      <c r="J93" s="0"/>
      <c r="K93" s="414"/>
      <c r="L93" s="414"/>
      <c r="M93" s="414"/>
      <c r="N93" s="414"/>
      <c r="O93" s="414"/>
      <c r="P93" s="419"/>
      <c r="Q93" s="419"/>
      <c r="R93" s="419"/>
      <c r="S93" s="388"/>
      <c r="T93" s="388"/>
      <c r="U93" s="388"/>
      <c r="V93" s="388"/>
      <c r="W93" s="0"/>
      <c r="X93" s="388"/>
      <c r="Y93" s="0"/>
      <c r="Z93" s="388"/>
      <c r="AA93" s="0"/>
      <c r="AB93" s="388"/>
      <c r="AC93" s="0"/>
      <c r="AD93" s="388"/>
      <c r="AE93" s="0"/>
      <c r="AF93" s="388"/>
      <c r="AG93" s="388"/>
      <c r="AH93" s="388"/>
      <c r="AI93" s="388"/>
      <c r="AJ93" s="388"/>
      <c r="AK93" s="388"/>
      <c r="AL93" s="388"/>
      <c r="AM93" s="388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3.5" hidden="false" customHeight="false" outlineLevel="0" collapsed="false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98" s="305" t="s">
        <v>337</v>
      </c>
      <c r="B98" s="421" t="n">
        <v>1</v>
      </c>
      <c r="AA98" s="1"/>
      <c r="AB98" s="1"/>
    </row>
    <row r="99" customFormat="false" ht="12.75" hidden="false" customHeight="false" outlineLevel="0" collapsed="false">
      <c r="A99" s="422" t="s">
        <v>136</v>
      </c>
      <c r="C99" s="423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</row>
    <row r="100" customFormat="false" ht="12.75" hidden="false" customHeight="false" outlineLevel="0" collapsed="false">
      <c r="A100" s="424" t="s">
        <v>140</v>
      </c>
      <c r="B100" s="425" t="n">
        <f aca="false">C100</f>
        <v>0.04</v>
      </c>
      <c r="C100" s="425" t="n">
        <f aca="false">IF(AND(Assumptions!$B$54&gt;Debt!B20,Assumptions!$B$54&lt;Debt!C20),1/$F$8-Debt!$B$100,IF(C20&gt;Assumptions!$B$54,0,1/$F$8))</f>
        <v>0.04</v>
      </c>
      <c r="D100" s="425" t="n">
        <f aca="false">IF(AND(Assumptions!$B$54&gt;Debt!C20,Assumptions!$B$54&lt;Debt!D20),1/$F$8-Debt!$B$100,IF(D20&gt;Assumptions!$B$54,0,1/$F$8))</f>
        <v>0.04</v>
      </c>
      <c r="E100" s="425" t="n">
        <f aca="false">IF(AND(Assumptions!$B$54&gt;Debt!D20,Assumptions!$B$54&lt;Debt!E20),1/$F$8-Debt!$B$100,IF(E20&gt;Assumptions!$B$54,0,1/$F$8))</f>
        <v>0.04</v>
      </c>
      <c r="F100" s="425" t="n">
        <f aca="false">IF(AND(Assumptions!$B$54&gt;Debt!E20,Assumptions!$B$54&lt;Debt!F20),1/$F$8-Debt!$B$100,IF(F20&gt;Assumptions!$B$54,0,1/$F$8))</f>
        <v>0.04</v>
      </c>
      <c r="G100" s="425" t="n">
        <f aca="false">IF(AND(Assumptions!$B$54&gt;Debt!F20,Assumptions!$B$54&lt;Debt!G20),1/$F$8-Debt!$B$100,IF(G20&gt;Assumptions!$B$54,0,1/$F$8))</f>
        <v>0.04</v>
      </c>
      <c r="H100" s="425" t="n">
        <f aca="false">IF(AND(Assumptions!$B$54&gt;Debt!G20,Assumptions!$B$54&lt;Debt!H20),1/$F$8-Debt!$B$100,IF(H20&gt;Assumptions!$B$54,0,1/$F$8))</f>
        <v>0.04</v>
      </c>
      <c r="I100" s="425" t="n">
        <f aca="false">IF(AND(Assumptions!$B$54&gt;Debt!H20,Assumptions!$B$54&lt;Debt!I20),1/$F$8-Debt!$B$100,IF(I20&gt;Assumptions!$B$54,0,1/$F$8))</f>
        <v>0.04</v>
      </c>
      <c r="J100" s="425" t="n">
        <f aca="false">IF(AND(Assumptions!$B$54&gt;Debt!I20,Assumptions!$B$54&lt;Debt!J20),1/$F$8-Debt!$B$100,IF(J20&gt;Assumptions!$B$54,0,1/$F$8))</f>
        <v>0.04</v>
      </c>
      <c r="K100" s="425" t="n">
        <f aca="false">IF(AND(Assumptions!$B$54&gt;Debt!J20,Assumptions!$B$54&lt;Debt!K20),1/$F$8-Debt!$B$100,IF(K20&gt;Assumptions!$B$54,0,1/$F$8))</f>
        <v>0.04</v>
      </c>
      <c r="L100" s="425" t="n">
        <f aca="false">IF(AND(Assumptions!$B$54&gt;Debt!K20,Assumptions!$B$54&lt;Debt!L20),1/$F$8-Debt!$B$100,IF(L20&gt;Assumptions!$B$54,0,1/$F$8))</f>
        <v>0.04</v>
      </c>
      <c r="M100" s="425" t="n">
        <f aca="false">IF(AND(Assumptions!$B$54&gt;Debt!L20,Assumptions!$B$54&lt;Debt!M20),1/$F$8-Debt!$B$100,IF(M20&gt;Assumptions!$B$54,0,1/$F$8))</f>
        <v>0.04</v>
      </c>
      <c r="N100" s="425" t="n">
        <f aca="false">IF(AND(Assumptions!$B$54&gt;Debt!M20,Assumptions!$B$54&lt;Debt!N20),1/$F$8-Debt!$B$100,IF(N20&gt;Assumptions!$B$54,0,1/$F$8))</f>
        <v>0.04</v>
      </c>
      <c r="O100" s="425" t="n">
        <f aca="false">IF(AND(Assumptions!$B$54&gt;Debt!N20,Assumptions!$B$54&lt;Debt!O20),1/$F$8-Debt!$B$100,IF(O20&gt;Assumptions!$B$54,0,1/$F$8))</f>
        <v>0.04</v>
      </c>
      <c r="P100" s="425" t="n">
        <f aca="false">IF(AND(Assumptions!$B$54&gt;Debt!O20,Assumptions!$B$54&lt;Debt!P20),1/$F$8-Debt!$B$100,IF(P20&gt;Assumptions!$B$54,0,1/$F$8))</f>
        <v>0.04</v>
      </c>
      <c r="Q100" s="425" t="n">
        <f aca="false">IF(AND(Assumptions!$B$54&gt;Debt!P20,Assumptions!$B$54&lt;Debt!Q20),1/$F$8-Debt!$B$100,IF(Q20&gt;Assumptions!$B$54,0,1/$F$8))</f>
        <v>0.04</v>
      </c>
      <c r="R100" s="425" t="n">
        <f aca="false">IF(AND(Assumptions!$B$54&gt;Debt!Q20,Assumptions!$B$54&lt;Debt!R20),1/$F$8-Debt!$B$100,IF(R20&gt;Assumptions!$B$54,0,1/$F$8))</f>
        <v>0.04</v>
      </c>
      <c r="S100" s="425" t="n">
        <f aca="false">IF(AND(Assumptions!$B$54&gt;Debt!R20,Assumptions!$B$54&lt;Debt!S20),1/$F$8-Debt!$B$100,IF(S20&gt;Assumptions!$B$54,0,1/$F$8))</f>
        <v>0.04</v>
      </c>
      <c r="T100" s="425" t="n">
        <f aca="false">IF(AND(Assumptions!$B$54&gt;Debt!S20,Assumptions!$B$54&lt;Debt!T20),1/$F$8-Debt!$B$100,IF(T20&gt;Assumptions!$B$54,0,1/$F$8))</f>
        <v>0.04</v>
      </c>
      <c r="U100" s="425" t="n">
        <f aca="false">IF(AND(Assumptions!$B$54&gt;Debt!T20,Assumptions!$B$54&lt;Debt!U20),1/$F$8-Debt!$B$100,IF(U20&gt;Assumptions!$B$54,0,1/$F$8))</f>
        <v>0.04</v>
      </c>
      <c r="V100" s="425" t="n">
        <f aca="false">IF(AND(Assumptions!$B$54&gt;Debt!U20,Assumptions!$B$54&lt;Debt!V20),1/$F$8-Debt!$B$100,IF(V20&gt;Assumptions!$B$54,0,1/$F$8))</f>
        <v>0.04</v>
      </c>
      <c r="W100" s="425" t="n">
        <f aca="false">IF(AND(Assumptions!$B$54&gt;Debt!V20,Assumptions!$B$54&lt;Debt!W20),1/$F$8-Debt!$B$100,IF(W20&gt;Assumptions!$B$54,0,1/$F$8))</f>
        <v>0</v>
      </c>
      <c r="X100" s="425" t="n">
        <f aca="false">IF(AND(Assumptions!$B$54&gt;Debt!W20,Assumptions!$B$54&lt;Debt!X20),1/$F$8-Debt!$B$100,IF(X20&gt;Assumptions!$B$54,0,1/$F$8))</f>
        <v>0</v>
      </c>
      <c r="Y100" s="425" t="n">
        <f aca="false">IF(AND(Assumptions!$B$54&gt;Debt!X20,Assumptions!$B$54&lt;Debt!Y20),1/$F$8-Debt!$B$100,IF(Y20&gt;Assumptions!$B$54,0,1/$F$8))</f>
        <v>0</v>
      </c>
      <c r="Z100" s="425" t="n">
        <f aca="false">IF(AND(Assumptions!$B$54&gt;Debt!Y20,Assumptions!$B$54&lt;Debt!Z20),1/$F$8-Debt!$B$100,IF(Z20&gt;Assumptions!$B$54,0,1/$F$8))</f>
        <v>0</v>
      </c>
      <c r="AA100" s="425" t="n">
        <f aca="false">IF(AND(Assumptions!$B$54&gt;Debt!Z20,Assumptions!$B$54&lt;Debt!AA20),1/$F$8-Debt!$B$100,IF(AA20&gt;Assumptions!$B$54,0,1/$F$8))</f>
        <v>0</v>
      </c>
      <c r="AB100" s="425" t="n">
        <f aca="false">IF(AND(Assumptions!$B$54&gt;Debt!AA20,Assumptions!$B$54&lt;Debt!AB20),1/$F$8-Debt!$B$100,IF(AB20&gt;Assumptions!$B$54,0,1/$F$8))</f>
        <v>0</v>
      </c>
      <c r="AC100" s="425" t="n">
        <f aca="false">IF(AND(Assumptions!$B$54&gt;Debt!AB20,Assumptions!$B$54&lt;Debt!AC20),1/$F$8-Debt!$B$100,IF(AC20&gt;Assumptions!$B$54,0,1/$F$8))</f>
        <v>0</v>
      </c>
      <c r="AD100" s="425" t="n">
        <f aca="false">IF(AND(Assumptions!$B$54&gt;Debt!AC20,Assumptions!$B$54&lt;Debt!AD20),1/$F$8-Debt!$B$100,IF(AD20&gt;Assumptions!$B$54,0,1/$F$8))</f>
        <v>0</v>
      </c>
      <c r="AE100" s="425" t="n">
        <f aca="false">IF(AND(Assumptions!$B$54&gt;Debt!AD20,Assumptions!$B$54&lt;Debt!AE20),1/$F$8-Debt!$B$100,IF(AE20&gt;Assumptions!$B$54,0,1/$F$8))</f>
        <v>0</v>
      </c>
      <c r="AF100" s="425" t="n">
        <f aca="false">IF(AND(Assumptions!$B$54&gt;Debt!AE20,Assumptions!$B$54&lt;Debt!AF20),1/$F$8-Debt!$B$100,IF(AF20&gt;Assumptions!$B$54,0,1/$F$8))</f>
        <v>0</v>
      </c>
    </row>
    <row r="101" customFormat="false" ht="12.75" hidden="false" customHeight="false" outlineLevel="0" collapsed="false">
      <c r="A101" s="424" t="s">
        <v>338</v>
      </c>
      <c r="B101" s="425" t="n">
        <v>0.2</v>
      </c>
      <c r="C101" s="425" t="n">
        <v>0.2</v>
      </c>
      <c r="D101" s="425" t="n">
        <v>0.2</v>
      </c>
      <c r="E101" s="425" t="n">
        <v>0.2</v>
      </c>
      <c r="F101" s="425" t="n">
        <v>0.2</v>
      </c>
      <c r="G101" s="425" t="n">
        <v>0</v>
      </c>
      <c r="H101" s="425" t="n">
        <v>0</v>
      </c>
      <c r="I101" s="425" t="n">
        <v>0</v>
      </c>
      <c r="J101" s="425" t="n">
        <v>0</v>
      </c>
      <c r="K101" s="425" t="n">
        <v>0</v>
      </c>
      <c r="L101" s="425" t="n">
        <v>0</v>
      </c>
      <c r="M101" s="425" t="n">
        <v>0</v>
      </c>
      <c r="N101" s="425" t="n">
        <v>0</v>
      </c>
      <c r="O101" s="425" t="n">
        <v>0</v>
      </c>
      <c r="P101" s="425" t="n">
        <v>0</v>
      </c>
      <c r="Q101" s="425" t="n">
        <v>0</v>
      </c>
      <c r="R101" s="425" t="n">
        <v>0</v>
      </c>
      <c r="S101" s="425" t="n">
        <v>0</v>
      </c>
      <c r="T101" s="425" t="n">
        <v>0</v>
      </c>
      <c r="U101" s="425" t="n">
        <v>0</v>
      </c>
      <c r="V101" s="425" t="n">
        <v>0</v>
      </c>
      <c r="W101" s="425" t="n">
        <v>0</v>
      </c>
      <c r="X101" s="425" t="n">
        <v>0</v>
      </c>
      <c r="Y101" s="425" t="n">
        <v>0</v>
      </c>
      <c r="Z101" s="425" t="n">
        <v>0</v>
      </c>
      <c r="AA101" s="425" t="n">
        <v>0</v>
      </c>
      <c r="AB101" s="425" t="n">
        <v>0</v>
      </c>
      <c r="AC101" s="425" t="n">
        <v>0</v>
      </c>
      <c r="AD101" s="425" t="n">
        <v>0</v>
      </c>
      <c r="AE101" s="425" t="n">
        <v>0</v>
      </c>
      <c r="AF101" s="425" t="n">
        <v>0</v>
      </c>
    </row>
    <row r="102" customFormat="false" ht="12.75" hidden="false" customHeight="false" outlineLevel="0" collapsed="false">
      <c r="A102" s="424" t="s">
        <v>339</v>
      </c>
      <c r="B102" s="426" t="n">
        <f aca="false">CHOOSE($B$98,B100,B101)</f>
        <v>0.04</v>
      </c>
      <c r="C102" s="426" t="n">
        <f aca="false">CHOOSE($B$98,C100,C101)</f>
        <v>0.04</v>
      </c>
      <c r="D102" s="426" t="n">
        <f aca="false">CHOOSE($B$98,D100,D101)</f>
        <v>0.04</v>
      </c>
      <c r="E102" s="426" t="n">
        <f aca="false">CHOOSE($B$98,E100,E101)</f>
        <v>0.04</v>
      </c>
      <c r="F102" s="426" t="n">
        <f aca="false">CHOOSE($B$98,F100,F101)</f>
        <v>0.04</v>
      </c>
      <c r="G102" s="426" t="n">
        <f aca="false">CHOOSE($B$98,G100,G101)</f>
        <v>0.04</v>
      </c>
      <c r="H102" s="426" t="n">
        <f aca="false">CHOOSE($B$98,H100,H101)</f>
        <v>0.04</v>
      </c>
      <c r="I102" s="426" t="n">
        <f aca="false">CHOOSE($B$98,I100,I101)</f>
        <v>0.04</v>
      </c>
      <c r="J102" s="426" t="n">
        <f aca="false">CHOOSE($B$98,J100,J101)</f>
        <v>0.04</v>
      </c>
      <c r="K102" s="426" t="n">
        <f aca="false">CHOOSE($B$98,K100,K101)</f>
        <v>0.04</v>
      </c>
      <c r="L102" s="426" t="n">
        <f aca="false">CHOOSE($B$98,L100,L101)</f>
        <v>0.04</v>
      </c>
      <c r="M102" s="426" t="n">
        <f aca="false">CHOOSE($B$98,M100,M101)</f>
        <v>0.04</v>
      </c>
      <c r="N102" s="426" t="n">
        <f aca="false">CHOOSE($B$98,N100,N101)</f>
        <v>0.04</v>
      </c>
      <c r="O102" s="426" t="n">
        <f aca="false">CHOOSE($B$98,O100,O101)</f>
        <v>0.04</v>
      </c>
      <c r="P102" s="426" t="n">
        <f aca="false">CHOOSE($B$98,P100,P101)</f>
        <v>0.04</v>
      </c>
      <c r="Q102" s="426" t="n">
        <f aca="false">CHOOSE($B$98,Q100,Q101)</f>
        <v>0.04</v>
      </c>
      <c r="R102" s="426" t="n">
        <f aca="false">CHOOSE($B$98,R100,R101)</f>
        <v>0.04</v>
      </c>
      <c r="S102" s="426" t="n">
        <f aca="false">CHOOSE($B$98,S100,S101)</f>
        <v>0.04</v>
      </c>
      <c r="T102" s="426" t="n">
        <f aca="false">CHOOSE($B$98,T100,T101)</f>
        <v>0.04</v>
      </c>
      <c r="U102" s="426" t="n">
        <f aca="false">CHOOSE($B$98,U100,U101)</f>
        <v>0.04</v>
      </c>
      <c r="V102" s="426" t="n">
        <f aca="false">CHOOSE($B$98,V100,V101)</f>
        <v>0.04</v>
      </c>
      <c r="W102" s="426" t="n">
        <f aca="false">CHOOSE($B$98,W100,W101)</f>
        <v>0</v>
      </c>
      <c r="X102" s="426" t="n">
        <f aca="false">CHOOSE($B$98,X100,X101)</f>
        <v>0</v>
      </c>
      <c r="Y102" s="426" t="n">
        <f aca="false">CHOOSE($B$98,Y100,Y101)</f>
        <v>0</v>
      </c>
      <c r="Z102" s="426" t="n">
        <f aca="false">CHOOSE($B$98,Z100,Z101)</f>
        <v>0</v>
      </c>
      <c r="AA102" s="426" t="n">
        <f aca="false">CHOOSE($B$98,AA100,AA101)</f>
        <v>0</v>
      </c>
      <c r="AB102" s="426" t="n">
        <f aca="false">CHOOSE($B$98,AB100,AB101)</f>
        <v>0</v>
      </c>
      <c r="AC102" s="426" t="n">
        <f aca="false">CHOOSE($B$98,AC100,AC101)</f>
        <v>0</v>
      </c>
      <c r="AD102" s="426" t="n">
        <f aca="false">CHOOSE($B$98,AD100,AD101)</f>
        <v>0</v>
      </c>
      <c r="AE102" s="426" t="n">
        <f aca="false">CHOOSE($B$98,AE100,AE101)</f>
        <v>0</v>
      </c>
      <c r="AF102" s="426" t="n">
        <f aca="false">CHOOSE($B$98,AF100,AF101)</f>
        <v>0</v>
      </c>
    </row>
    <row r="103" customFormat="false" ht="12.75" hidden="false" customHeight="false" outlineLevel="0" collapsed="false">
      <c r="B103" s="395"/>
      <c r="C103" s="395"/>
      <c r="D103" s="395"/>
      <c r="E103" s="395"/>
      <c r="F103" s="395"/>
      <c r="G103" s="395"/>
      <c r="H103" s="395"/>
      <c r="I103" s="395"/>
      <c r="J103" s="395"/>
      <c r="K103" s="395"/>
      <c r="L103" s="395"/>
      <c r="M103" s="395"/>
      <c r="N103" s="395"/>
      <c r="O103" s="395"/>
      <c r="P103" s="395"/>
      <c r="Q103" s="395"/>
      <c r="R103" s="395"/>
      <c r="S103" s="395"/>
      <c r="T103" s="395"/>
      <c r="U103" s="395"/>
      <c r="V103" s="395"/>
      <c r="W103" s="395"/>
      <c r="X103" s="395"/>
      <c r="Y103" s="395"/>
      <c r="Z103" s="395"/>
      <c r="AA103" s="395"/>
      <c r="AB103" s="395"/>
      <c r="AC103" s="395"/>
      <c r="AD103" s="395"/>
      <c r="AE103" s="395"/>
      <c r="AF103" s="395"/>
    </row>
    <row r="104" customFormat="false" ht="12.75" hidden="false" customHeight="false" outlineLevel="0" collapsed="false">
      <c r="A104" s="422" t="s">
        <v>137</v>
      </c>
      <c r="B104" s="427"/>
      <c r="C104" s="427"/>
      <c r="D104" s="427"/>
      <c r="E104" s="427"/>
      <c r="F104" s="427"/>
      <c r="G104" s="427"/>
      <c r="H104" s="427"/>
      <c r="I104" s="427"/>
      <c r="J104" s="427"/>
      <c r="K104" s="427"/>
      <c r="L104" s="427"/>
      <c r="M104" s="427"/>
      <c r="N104" s="427"/>
      <c r="O104" s="427"/>
      <c r="P104" s="427"/>
      <c r="Q104" s="427"/>
      <c r="R104" s="427"/>
      <c r="S104" s="427"/>
      <c r="T104" s="427"/>
      <c r="U104" s="427"/>
      <c r="V104" s="427"/>
      <c r="W104" s="427"/>
      <c r="X104" s="427"/>
      <c r="Y104" s="427"/>
      <c r="Z104" s="427"/>
      <c r="AA104" s="427"/>
      <c r="AB104" s="427"/>
      <c r="AC104" s="427"/>
      <c r="AD104" s="427"/>
      <c r="AE104" s="427"/>
      <c r="AF104" s="427"/>
    </row>
    <row r="105" customFormat="false" ht="12.75" hidden="false" customHeight="false" outlineLevel="0" collapsed="false">
      <c r="A105" s="424" t="s">
        <v>140</v>
      </c>
      <c r="B105" s="425" t="n">
        <f aca="false">C105</f>
        <v>0.1</v>
      </c>
      <c r="C105" s="425" t="n">
        <f aca="false">IF(AND(Assumptions!$C$54&gt;Debt!B20,Assumptions!$C$54&lt;Debt!C20),1/$L$8-Debt!$B$105,IF(C20&gt;Assumptions!$C$54,0,1/$L$8))</f>
        <v>0.1</v>
      </c>
      <c r="D105" s="425" t="n">
        <f aca="false">IF(AND(Assumptions!$C$54&gt;Debt!C20,Assumptions!$C$54&lt;Debt!D20),1/$L$8-Debt!$B$105,IF(D20&gt;Assumptions!$C$54,0,1/$L$8))</f>
        <v>0.1</v>
      </c>
      <c r="E105" s="425" t="n">
        <f aca="false">IF(AND(Assumptions!$C$54&gt;Debt!D20,Assumptions!$C$54&lt;Debt!E20),1/$L$8-Debt!$B$105,IF(E20&gt;Assumptions!$C$54,0,1/$L$8))</f>
        <v>0.1</v>
      </c>
      <c r="F105" s="425" t="n">
        <f aca="false">IF(AND(Assumptions!$C$54&gt;Debt!E20,Assumptions!$C$54&lt;Debt!F20),1/$L$8-Debt!$B$105,IF(F20&gt;Assumptions!$C$54,0,1/$L$8))</f>
        <v>0.1</v>
      </c>
      <c r="G105" s="425" t="n">
        <f aca="false">IF(AND(Assumptions!$C$54&gt;Debt!F20,Assumptions!$C$54&lt;Debt!G20),1/$L$8-Debt!$B$105,IF(G20&gt;Assumptions!$C$54,0,1/$L$8))</f>
        <v>0.1</v>
      </c>
      <c r="H105" s="425" t="n">
        <f aca="false">IF(AND(Assumptions!$C$54&gt;Debt!G20,Assumptions!$C$54&lt;Debt!H20),1/$L$8-Debt!$B$105,IF(H20&gt;Assumptions!$C$54,0,1/$L$8))</f>
        <v>0.1</v>
      </c>
      <c r="I105" s="425" t="n">
        <f aca="false">IF(AND(Assumptions!$C$54&gt;Debt!H20,Assumptions!$C$54&lt;Debt!I20),1/$L$8-Debt!$B$105,IF(I20&gt;Assumptions!$C$54,0,1/$L$8))</f>
        <v>0.1</v>
      </c>
      <c r="J105" s="425" t="n">
        <f aca="false">IF(AND(Assumptions!$C$54&gt;Debt!I20,Assumptions!$C$54&lt;Debt!J20),1/$L$8-Debt!$B$105,IF(J20&gt;Assumptions!$C$54,0,1/$L$8))</f>
        <v>0.1</v>
      </c>
      <c r="K105" s="425" t="n">
        <f aca="false">IF(AND(Assumptions!$C$54&gt;Debt!J20,Assumptions!$C$54&lt;Debt!K20),1/$L$8-Debt!$B$105,IF(K20&gt;Assumptions!$C$54,0,1/$L$8))</f>
        <v>0.1</v>
      </c>
      <c r="L105" s="425" t="n">
        <f aca="false">IF(AND(Assumptions!$C$54&gt;Debt!K20,Assumptions!$C$54&lt;Debt!L20),1/$L$8-Debt!$B$105,IF(L20&gt;Assumptions!$C$54,0,1/$L$8))</f>
        <v>0</v>
      </c>
      <c r="M105" s="425" t="n">
        <f aca="false">IF(AND(Assumptions!$C$54&gt;Debt!L20,Assumptions!$C$54&lt;Debt!M20),1/$L$8-Debt!$B$105,IF(M20&gt;Assumptions!$C$54,0,1/$L$8))</f>
        <v>0</v>
      </c>
      <c r="N105" s="425" t="n">
        <f aca="false">IF(AND(Assumptions!$C$54&gt;Debt!M20,Assumptions!$C$54&lt;Debt!N20),1/$L$8-Debt!$B$105,IF(N20&gt;Assumptions!$C$54,0,1/$L$8))</f>
        <v>0</v>
      </c>
      <c r="O105" s="425" t="n">
        <f aca="false">IF(AND(Assumptions!$C$54&gt;Debt!N20,Assumptions!$C$54&lt;Debt!O20),1/$L$8-Debt!$B$105,IF(O20&gt;Assumptions!$C$54,0,1/$L$8))</f>
        <v>0</v>
      </c>
      <c r="P105" s="425" t="n">
        <f aca="false">IF(AND(Assumptions!$C$54&gt;Debt!O20,Assumptions!$C$54&lt;Debt!P20),1/$L$8-Debt!$B$105,IF(P20&gt;Assumptions!$C$54,0,1/$L$8))</f>
        <v>0</v>
      </c>
      <c r="Q105" s="425" t="n">
        <f aca="false">IF(AND(Assumptions!$C$54&gt;Debt!P20,Assumptions!$C$54&lt;Debt!Q20),1/$L$8-Debt!$B$105,IF(Q20&gt;Assumptions!$C$54,0,1/$L$8))</f>
        <v>0</v>
      </c>
      <c r="R105" s="425" t="n">
        <f aca="false">IF(AND(Assumptions!$C$54&gt;Debt!Q20,Assumptions!$C$54&lt;Debt!R20),1/$L$8-Debt!$B$105,IF(R20&gt;Assumptions!$C$54,0,1/$L$8))</f>
        <v>0</v>
      </c>
      <c r="S105" s="425" t="n">
        <f aca="false">IF(AND(Assumptions!$C$54&gt;Debt!R20,Assumptions!$C$54&lt;Debt!S20),1/$L$8-Debt!$B$105,IF(S20&gt;Assumptions!$C$54,0,1/$L$8))</f>
        <v>0</v>
      </c>
      <c r="T105" s="425" t="n">
        <f aca="false">IF(AND(Assumptions!$C$54&gt;Debt!S20,Assumptions!$C$54&lt;Debt!T20),1/$L$8-Debt!$B$105,IF(T20&gt;Assumptions!$C$54,0,1/$L$8))</f>
        <v>0</v>
      </c>
      <c r="U105" s="425" t="n">
        <f aca="false">IF(AND(Assumptions!$C$54&gt;Debt!T20,Assumptions!$C$54&lt;Debt!U20),1/$L$8-Debt!$B$105,IF(U20&gt;Assumptions!$C$54,0,1/$L$8))</f>
        <v>0</v>
      </c>
      <c r="V105" s="425" t="n">
        <f aca="false">IF(AND(Assumptions!$C$54&gt;Debt!U20,Assumptions!$C$54&lt;Debt!V20),1/$L$8-Debt!$B$105,IF(V20&gt;Assumptions!$C$54,0,1/$L$8))</f>
        <v>0</v>
      </c>
      <c r="W105" s="425" t="n">
        <f aca="false">IF(AND(Assumptions!$C$54&gt;Debt!V20,Assumptions!$C$54&lt;Debt!W20),1/$L$8-Debt!$B$105,IF(W20&gt;Assumptions!$C$54,0,1/$L$8))</f>
        <v>0</v>
      </c>
      <c r="X105" s="425" t="n">
        <f aca="false">IF(AND(Assumptions!$C$54&gt;Debt!W20,Assumptions!$C$54&lt;Debt!X20),1/$L$8-Debt!$B$105,IF(X20&gt;Assumptions!$C$54,0,1/$L$8))</f>
        <v>0</v>
      </c>
      <c r="Y105" s="425" t="n">
        <f aca="false">IF(AND(Assumptions!$C$54&gt;Debt!X20,Assumptions!$C$54&lt;Debt!Y20),1/$L$8-Debt!$B$105,IF(Y20&gt;Assumptions!$C$54,0,1/$L$8))</f>
        <v>0</v>
      </c>
      <c r="Z105" s="425" t="n">
        <f aca="false">IF(AND(Assumptions!$C$54&gt;Debt!Y20,Assumptions!$C$54&lt;Debt!Z20),1/$L$8-Debt!$B$105,IF(Z20&gt;Assumptions!$C$54,0,1/$L$8))</f>
        <v>0</v>
      </c>
      <c r="AA105" s="425" t="n">
        <f aca="false">IF(AND(Assumptions!$C$54&gt;Debt!Z20,Assumptions!$C$54&lt;Debt!AA20),1/$L$8-Debt!$B$105,IF(AA20&gt;Assumptions!$C$54,0,1/$L$8))</f>
        <v>0</v>
      </c>
      <c r="AB105" s="425" t="n">
        <f aca="false">IF(AND(Assumptions!$C$54&gt;Debt!AA20,Assumptions!$C$54&lt;Debt!AB20),1/$L$8-Debt!$B$105,IF(AB20&gt;Assumptions!$C$54,0,1/$L$8))</f>
        <v>0</v>
      </c>
      <c r="AC105" s="425" t="n">
        <f aca="false">IF(AND(Assumptions!$C$54&gt;Debt!AB20,Assumptions!$C$54&lt;Debt!AC20),1/$L$8-Debt!$B$105,IF(AC20&gt;Assumptions!$C$54,0,1/$L$8))</f>
        <v>0</v>
      </c>
      <c r="AD105" s="425" t="n">
        <f aca="false">IF(AND(Assumptions!$C$54&gt;Debt!AC20,Assumptions!$C$54&lt;Debt!AD20),1/$L$8-Debt!$B$105,IF(AD20&gt;Assumptions!$C$54,0,1/$L$8))</f>
        <v>0</v>
      </c>
      <c r="AE105" s="425" t="n">
        <f aca="false">IF(AND(Assumptions!$C$54&gt;Debt!AD20,Assumptions!$C$54&lt;Debt!AE20),1/$L$8-Debt!$B$105,IF(AE20&gt;Assumptions!$C$54,0,1/$L$8))</f>
        <v>0</v>
      </c>
      <c r="AF105" s="425" t="n">
        <f aca="false">IF(AND(Assumptions!$C$54&gt;Debt!AE20,Assumptions!$C$54&lt;Debt!AF20),1/$L$8-Debt!$B$105,IF(AF20&gt;Assumptions!$C$54,0,1/$L$8))</f>
        <v>0</v>
      </c>
    </row>
    <row r="106" customFormat="false" ht="12.75" hidden="false" customHeight="false" outlineLevel="0" collapsed="false">
      <c r="A106" s="424" t="s">
        <v>338</v>
      </c>
      <c r="B106" s="425" t="n">
        <v>0.1</v>
      </c>
      <c r="C106" s="425" t="n">
        <v>0.1</v>
      </c>
      <c r="D106" s="425" t="n">
        <v>0.1</v>
      </c>
      <c r="E106" s="425" t="n">
        <v>0.1</v>
      </c>
      <c r="F106" s="425" t="n">
        <v>0.1</v>
      </c>
      <c r="G106" s="425" t="n">
        <v>0.1</v>
      </c>
      <c r="H106" s="425" t="n">
        <v>0.1</v>
      </c>
      <c r="I106" s="425" t="n">
        <v>0.1</v>
      </c>
      <c r="J106" s="425" t="n">
        <v>0.1</v>
      </c>
      <c r="K106" s="425" t="n">
        <v>0.1</v>
      </c>
      <c r="L106" s="425" t="n">
        <v>0</v>
      </c>
      <c r="M106" s="425" t="n">
        <v>0</v>
      </c>
      <c r="N106" s="425" t="n">
        <v>0</v>
      </c>
      <c r="O106" s="425" t="n">
        <v>0</v>
      </c>
      <c r="P106" s="425" t="n">
        <v>0</v>
      </c>
      <c r="Q106" s="425" t="n">
        <v>0</v>
      </c>
      <c r="R106" s="425" t="n">
        <v>0</v>
      </c>
      <c r="S106" s="425" t="n">
        <v>0</v>
      </c>
      <c r="T106" s="425" t="n">
        <v>0</v>
      </c>
      <c r="U106" s="425" t="n">
        <v>0</v>
      </c>
      <c r="V106" s="425" t="n">
        <v>0</v>
      </c>
      <c r="W106" s="425" t="n">
        <v>0</v>
      </c>
      <c r="X106" s="425" t="n">
        <v>0</v>
      </c>
      <c r="Y106" s="425" t="n">
        <v>0</v>
      </c>
      <c r="Z106" s="425" t="n">
        <v>0</v>
      </c>
      <c r="AA106" s="425" t="n">
        <v>0</v>
      </c>
      <c r="AB106" s="425" t="n">
        <v>0</v>
      </c>
      <c r="AC106" s="425" t="n">
        <v>0</v>
      </c>
      <c r="AD106" s="425" t="n">
        <v>0</v>
      </c>
      <c r="AE106" s="425" t="n">
        <v>0</v>
      </c>
      <c r="AF106" s="425" t="n">
        <v>0</v>
      </c>
    </row>
    <row r="107" customFormat="false" ht="12.75" hidden="false" customHeight="false" outlineLevel="0" collapsed="false">
      <c r="A107" s="424" t="s">
        <v>339</v>
      </c>
      <c r="B107" s="426" t="n">
        <f aca="false">CHOOSE($B$98,B105,B106)</f>
        <v>0.1</v>
      </c>
      <c r="C107" s="426" t="n">
        <f aca="false">CHOOSE($B$98,C105,C106)</f>
        <v>0.1</v>
      </c>
      <c r="D107" s="426" t="n">
        <f aca="false">CHOOSE($B$98,D105,D106)</f>
        <v>0.1</v>
      </c>
      <c r="E107" s="426" t="n">
        <f aca="false">CHOOSE($B$98,E105,E106)</f>
        <v>0.1</v>
      </c>
      <c r="F107" s="426" t="n">
        <f aca="false">CHOOSE($B$98,F105,F106)</f>
        <v>0.1</v>
      </c>
      <c r="G107" s="426" t="n">
        <f aca="false">CHOOSE($B$98,G105,G106)</f>
        <v>0.1</v>
      </c>
      <c r="H107" s="426" t="n">
        <f aca="false">CHOOSE($B$98,H105,H106)</f>
        <v>0.1</v>
      </c>
      <c r="I107" s="426" t="n">
        <f aca="false">CHOOSE($B$98,I105,I106)</f>
        <v>0.1</v>
      </c>
      <c r="J107" s="426" t="n">
        <f aca="false">CHOOSE($B$98,J105,J106)</f>
        <v>0.1</v>
      </c>
      <c r="K107" s="426" t="n">
        <f aca="false">CHOOSE($B$98,K105,K106)</f>
        <v>0.1</v>
      </c>
      <c r="L107" s="426" t="n">
        <f aca="false">CHOOSE($B$98,L105,L106)</f>
        <v>0</v>
      </c>
      <c r="M107" s="426" t="n">
        <f aca="false">CHOOSE($B$98,M105,M106)</f>
        <v>0</v>
      </c>
      <c r="N107" s="426" t="n">
        <f aca="false">CHOOSE($B$98,N105,N106)</f>
        <v>0</v>
      </c>
      <c r="O107" s="426" t="n">
        <f aca="false">CHOOSE($B$98,O105,O106)</f>
        <v>0</v>
      </c>
      <c r="P107" s="426" t="n">
        <f aca="false">CHOOSE($B$98,P105,P106)</f>
        <v>0</v>
      </c>
      <c r="Q107" s="426" t="n">
        <f aca="false">CHOOSE($B$98,Q105,Q106)</f>
        <v>0</v>
      </c>
      <c r="R107" s="426" t="n">
        <f aca="false">CHOOSE($B$98,R105,R106)</f>
        <v>0</v>
      </c>
      <c r="S107" s="426" t="n">
        <f aca="false">CHOOSE($B$98,S105,S106)</f>
        <v>0</v>
      </c>
      <c r="T107" s="426" t="n">
        <f aca="false">CHOOSE($B$98,T105,T106)</f>
        <v>0</v>
      </c>
      <c r="U107" s="426" t="n">
        <f aca="false">CHOOSE($B$98,U105,U106)</f>
        <v>0</v>
      </c>
      <c r="V107" s="426" t="n">
        <f aca="false">CHOOSE($B$98,V105,V106)</f>
        <v>0</v>
      </c>
      <c r="W107" s="426" t="n">
        <f aca="false">CHOOSE($B$98,W105,W106)</f>
        <v>0</v>
      </c>
      <c r="X107" s="426" t="n">
        <f aca="false">CHOOSE($B$98,X105,X106)</f>
        <v>0</v>
      </c>
      <c r="Y107" s="426" t="n">
        <f aca="false">CHOOSE($B$98,Y105,Y106)</f>
        <v>0</v>
      </c>
      <c r="Z107" s="426" t="n">
        <f aca="false">CHOOSE($B$98,Z105,Z106)</f>
        <v>0</v>
      </c>
      <c r="AA107" s="426" t="n">
        <f aca="false">CHOOSE($B$98,AA105,AA106)</f>
        <v>0</v>
      </c>
      <c r="AB107" s="426" t="n">
        <f aca="false">CHOOSE($B$98,AB105,AB106)</f>
        <v>0</v>
      </c>
      <c r="AC107" s="426" t="n">
        <f aca="false">CHOOSE($B$98,AC105,AC106)</f>
        <v>0</v>
      </c>
      <c r="AD107" s="426" t="n">
        <f aca="false">CHOOSE($B$98,AD105,AD106)</f>
        <v>0</v>
      </c>
      <c r="AE107" s="426" t="n">
        <f aca="false">CHOOSE($B$98,AE105,AE106)</f>
        <v>0</v>
      </c>
      <c r="AF107" s="426" t="n">
        <f aca="false">CHOOSE($B$98,AF105,AF106)</f>
        <v>0</v>
      </c>
    </row>
    <row r="108" customFormat="false" ht="12.75" hidden="false" customHeight="false" outlineLevel="0" collapsed="false">
      <c r="B108" s="395"/>
      <c r="C108" s="395"/>
      <c r="D108" s="395"/>
      <c r="E108" s="395"/>
      <c r="F108" s="395"/>
      <c r="G108" s="395"/>
      <c r="H108" s="395"/>
      <c r="I108" s="395"/>
      <c r="J108" s="395"/>
      <c r="K108" s="395"/>
      <c r="L108" s="395"/>
      <c r="M108" s="395"/>
      <c r="N108" s="395"/>
      <c r="O108" s="395"/>
      <c r="P108" s="395"/>
      <c r="Q108" s="395"/>
      <c r="R108" s="395"/>
      <c r="S108" s="395"/>
      <c r="T108" s="395"/>
      <c r="U108" s="395"/>
      <c r="V108" s="395"/>
      <c r="W108" s="395"/>
      <c r="X108" s="395"/>
      <c r="Y108" s="395"/>
      <c r="Z108" s="395"/>
      <c r="AA108" s="395"/>
      <c r="AB108" s="395"/>
      <c r="AC108" s="395"/>
      <c r="AD108" s="395"/>
      <c r="AE108" s="395"/>
      <c r="AF108" s="395"/>
    </row>
    <row r="109" customFormat="false" ht="12.75" hidden="false" customHeight="false" outlineLevel="0" collapsed="false">
      <c r="A109" s="422" t="s">
        <v>138</v>
      </c>
      <c r="B109" s="427"/>
      <c r="C109" s="427"/>
      <c r="D109" s="427"/>
      <c r="E109" s="427"/>
      <c r="F109" s="427"/>
      <c r="G109" s="427"/>
      <c r="H109" s="427"/>
      <c r="I109" s="427"/>
      <c r="J109" s="427"/>
      <c r="K109" s="427"/>
      <c r="L109" s="427"/>
      <c r="M109" s="427"/>
      <c r="N109" s="427"/>
      <c r="O109" s="427"/>
      <c r="P109" s="427"/>
      <c r="Q109" s="427"/>
      <c r="R109" s="427"/>
      <c r="S109" s="427"/>
      <c r="T109" s="427"/>
      <c r="U109" s="427"/>
      <c r="V109" s="427"/>
      <c r="W109" s="427"/>
      <c r="X109" s="427"/>
      <c r="Y109" s="427"/>
      <c r="Z109" s="427"/>
      <c r="AA109" s="427"/>
      <c r="AB109" s="427"/>
      <c r="AC109" s="427"/>
      <c r="AD109" s="427"/>
      <c r="AE109" s="427"/>
      <c r="AF109" s="427"/>
    </row>
    <row r="110" customFormat="false" ht="12.75" hidden="false" customHeight="false" outlineLevel="0" collapsed="false">
      <c r="A110" s="424" t="s">
        <v>140</v>
      </c>
      <c r="B110" s="425" t="n">
        <f aca="false">C110</f>
        <v>0.05</v>
      </c>
      <c r="C110" s="425" t="n">
        <f aca="false">IF(AND(Assumptions!$D$54&gt;Debt!B20,Assumptions!$D$54&lt;Debt!C20),1/$R$8-Debt!$B$110,IF(C20&gt;Assumptions!$D$54,0,1/$R$8))</f>
        <v>0.05</v>
      </c>
      <c r="D110" s="425" t="n">
        <f aca="false">IF(AND(Assumptions!$D$54&gt;Debt!C20,Assumptions!$D$54&lt;Debt!D20),1/$R$8-Debt!$B$110,IF(D20&gt;Assumptions!$D$54,0,1/$R$8))</f>
        <v>0.05</v>
      </c>
      <c r="E110" s="425" t="n">
        <f aca="false">IF(AND(Assumptions!$D$54&gt;Debt!D20,Assumptions!$D$54&lt;Debt!E20),1/$R$8-Debt!$B$110,IF(E20&gt;Assumptions!$D$54,0,1/$R$8))</f>
        <v>0.05</v>
      </c>
      <c r="F110" s="425" t="n">
        <f aca="false">IF(AND(Assumptions!$D$54&gt;Debt!E20,Assumptions!$D$54&lt;Debt!F20),1/$R$8-Debt!$B$110,IF(F20&gt;Assumptions!$D$54,0,1/$R$8))</f>
        <v>0.05</v>
      </c>
      <c r="G110" s="425" t="n">
        <f aca="false">IF(AND(Assumptions!$D$54&gt;Debt!F20,Assumptions!$D$54&lt;Debt!G20),1/$R$8-Debt!$B$110,IF(G20&gt;Assumptions!$D$54,0,1/$R$8))</f>
        <v>0.05</v>
      </c>
      <c r="H110" s="425" t="n">
        <f aca="false">IF(AND(Assumptions!$D$54&gt;Debt!G20,Assumptions!$D$54&lt;Debt!H20),1/$R$8-Debt!$B$110,IF(H20&gt;Assumptions!$D$54,0,1/$R$8))</f>
        <v>0.05</v>
      </c>
      <c r="I110" s="425" t="n">
        <f aca="false">IF(AND(Assumptions!$D$54&gt;Debt!H20,Assumptions!$D$54&lt;Debt!I20),1/$R$8-Debt!$B$110,IF(I20&gt;Assumptions!$D$54,0,1/$R$8))</f>
        <v>0.05</v>
      </c>
      <c r="J110" s="425" t="n">
        <f aca="false">IF(AND(Assumptions!$D$54&gt;Debt!I20,Assumptions!$D$54&lt;Debt!J20),1/$R$8-Debt!$B$110,IF(J20&gt;Assumptions!$D$54,0,1/$R$8))</f>
        <v>0.05</v>
      </c>
      <c r="K110" s="425" t="n">
        <f aca="false">IF(AND(Assumptions!$D$54&gt;Debt!J20,Assumptions!$D$54&lt;Debt!K20),1/$R$8-Debt!$B$110,IF(K20&gt;Assumptions!$D$54,0,1/$R$8))</f>
        <v>0.05</v>
      </c>
      <c r="L110" s="425" t="n">
        <f aca="false">IF(AND(Assumptions!$D$54&gt;Debt!K20,Assumptions!$D$54&lt;Debt!L20),1/$R$8-Debt!$B$110,IF(L20&gt;Assumptions!$D$54,0,1/$R$8))</f>
        <v>0.05</v>
      </c>
      <c r="M110" s="425" t="n">
        <f aca="false">IF(AND(Assumptions!$D$54&gt;Debt!L20,Assumptions!$D$54&lt;Debt!M20),1/$R$8-Debt!$B$110,IF(M20&gt;Assumptions!$D$54,0,1/$R$8))</f>
        <v>0.05</v>
      </c>
      <c r="N110" s="425" t="n">
        <f aca="false">IF(AND(Assumptions!$D$54&gt;Debt!M20,Assumptions!$D$54&lt;Debt!N20),1/$R$8-Debt!$B$110,IF(N20&gt;Assumptions!$D$54,0,1/$R$8))</f>
        <v>0.05</v>
      </c>
      <c r="O110" s="425" t="n">
        <f aca="false">IF(AND(Assumptions!$D$54&gt;Debt!N20,Assumptions!$D$54&lt;Debt!O20),1/$R$8-Debt!$B$110,IF(O20&gt;Assumptions!$D$54,0,1/$R$8))</f>
        <v>0.05</v>
      </c>
      <c r="P110" s="425" t="n">
        <f aca="false">IF(AND(Assumptions!$D$54&gt;Debt!O20,Assumptions!$D$54&lt;Debt!P20),1/$R$8-Debt!$B$110,IF(P20&gt;Assumptions!$D$54,0,1/$R$8))</f>
        <v>0.05</v>
      </c>
      <c r="Q110" s="425" t="n">
        <f aca="false">IF(AND(Assumptions!$D$54&gt;Debt!P20,Assumptions!$D$54&lt;Debt!Q20),1/$R$8-Debt!$B$110,IF(Q20&gt;Assumptions!$D$54,0,1/$R$8))</f>
        <v>0.05</v>
      </c>
      <c r="R110" s="425" t="n">
        <f aca="false">IF(AND(Assumptions!$D$54&gt;Debt!Q20,Assumptions!$D$54&lt;Debt!R20),1/$R$8-Debt!$B$110,IF(R20&gt;Assumptions!$D$54,0,1/$R$8))</f>
        <v>0.05</v>
      </c>
      <c r="S110" s="425" t="n">
        <f aca="false">IF(AND(Assumptions!$D$54&gt;Debt!R20,Assumptions!$D$54&lt;Debt!S20),1/$R$8-Debt!$B$110,IF(S20&gt;Assumptions!$D$54,0,1/$R$8))</f>
        <v>0.05</v>
      </c>
      <c r="T110" s="425" t="n">
        <f aca="false">IF(AND(Assumptions!$D$54&gt;Debt!S20,Assumptions!$D$54&lt;Debt!T20),1/$R$8-Debt!$B$110,IF(T20&gt;Assumptions!$D$54,0,1/$R$8))</f>
        <v>0.05</v>
      </c>
      <c r="U110" s="425" t="n">
        <f aca="false">IF(AND(Assumptions!$D$54&gt;Debt!T20,Assumptions!$D$54&lt;Debt!U20),1/$R$8-Debt!$B$110,IF(U20&gt;Assumptions!$D$54,0,1/$R$8))</f>
        <v>0.05</v>
      </c>
      <c r="V110" s="425" t="n">
        <f aca="false">IF(AND(Assumptions!$D$54&gt;Debt!U20,Assumptions!$D$54&lt;Debt!V20),1/$R$8-Debt!$B$110,IF(V20&gt;Assumptions!$D$54,0,1/$R$8))</f>
        <v>0</v>
      </c>
      <c r="W110" s="425" t="n">
        <f aca="false">IF(AND(Assumptions!$D$54&gt;Debt!V20,Assumptions!$D$54&lt;Debt!W20),1/$R$8-Debt!$B$110,IF(W20&gt;Assumptions!$D$54,0,1/$R$8))</f>
        <v>0</v>
      </c>
      <c r="X110" s="425" t="n">
        <f aca="false">IF(AND(Assumptions!$D$54&gt;Debt!W20,Assumptions!$D$54&lt;Debt!X20),1/$R$8-Debt!$B$110,IF(X20&gt;Assumptions!$D$54,0,1/$R$8))</f>
        <v>0</v>
      </c>
      <c r="Y110" s="425" t="n">
        <f aca="false">IF(AND(Assumptions!$D$54&gt;Debt!X20,Assumptions!$D$54&lt;Debt!Y20),1/$R$8-Debt!$B$110,IF(Y20&gt;Assumptions!$D$54,0,1/$R$8))</f>
        <v>0</v>
      </c>
      <c r="Z110" s="425" t="n">
        <f aca="false">IF(AND(Assumptions!$D$54&gt;Debt!Y20,Assumptions!$D$54&lt;Debt!Z20),1/$R$8-Debt!$B$110,IF(Z20&gt;Assumptions!$D$54,0,1/$R$8))</f>
        <v>0</v>
      </c>
      <c r="AA110" s="425" t="n">
        <f aca="false">IF(AND(Assumptions!$D$54&gt;Debt!Z20,Assumptions!$D$54&lt;Debt!AA20),1/$R$8-Debt!$B$110,IF(AA20&gt;Assumptions!$D$54,0,1/$R$8))</f>
        <v>0</v>
      </c>
      <c r="AB110" s="425" t="n">
        <f aca="false">IF(AND(Assumptions!$D$54&gt;Debt!AA20,Assumptions!$D$54&lt;Debt!AB20),1/$R$8-Debt!$B$110,IF(AB20&gt;Assumptions!$D$54,0,1/$R$8))</f>
        <v>0</v>
      </c>
      <c r="AC110" s="425" t="n">
        <f aca="false">IF(AND(Assumptions!$D$54&gt;Debt!AB20,Assumptions!$D$54&lt;Debt!AC20),1/$R$8-Debt!$B$110,IF(AC20&gt;Assumptions!$D$54,0,1/$R$8))</f>
        <v>0</v>
      </c>
      <c r="AD110" s="425" t="n">
        <f aca="false">IF(AND(Assumptions!$D$54&gt;Debt!AC20,Assumptions!$D$54&lt;Debt!AD20),1/$R$8-Debt!$B$110,IF(AD20&gt;Assumptions!$D$54,0,1/$R$8))</f>
        <v>0</v>
      </c>
      <c r="AE110" s="425" t="n">
        <f aca="false">IF(AND(Assumptions!$D$54&gt;Debt!AD20,Assumptions!$D$54&lt;Debt!AE20),1/$R$8-Debt!$B$110,IF(AE20&gt;Assumptions!$D$54,0,1/$R$8))</f>
        <v>0</v>
      </c>
      <c r="AF110" s="425" t="n">
        <f aca="false">IF(AND(Assumptions!$D$54&gt;Debt!AE20,Assumptions!$D$54&lt;Debt!AF20),1/$R$8-Debt!$B$110,IF(AF20&gt;Assumptions!$D$54,0,1/$R$8))</f>
        <v>0</v>
      </c>
    </row>
    <row r="111" customFormat="false" ht="12.75" hidden="false" customHeight="false" outlineLevel="0" collapsed="false">
      <c r="A111" s="424" t="s">
        <v>338</v>
      </c>
      <c r="B111" s="425" t="n">
        <v>0.05</v>
      </c>
      <c r="C111" s="425" t="n">
        <v>0.05</v>
      </c>
      <c r="D111" s="425" t="n">
        <v>0.05</v>
      </c>
      <c r="E111" s="425" t="n">
        <v>0.05</v>
      </c>
      <c r="F111" s="425" t="n">
        <v>0.05</v>
      </c>
      <c r="G111" s="425" t="n">
        <v>0.05</v>
      </c>
      <c r="H111" s="425" t="n">
        <v>0.05</v>
      </c>
      <c r="I111" s="425" t="n">
        <v>0.05</v>
      </c>
      <c r="J111" s="425" t="n">
        <v>0.05</v>
      </c>
      <c r="K111" s="425" t="n">
        <v>0.05</v>
      </c>
      <c r="L111" s="425" t="n">
        <v>0.05</v>
      </c>
      <c r="M111" s="425" t="n">
        <v>0.05</v>
      </c>
      <c r="N111" s="425" t="n">
        <v>0.05</v>
      </c>
      <c r="O111" s="425" t="n">
        <v>0.05</v>
      </c>
      <c r="P111" s="425" t="n">
        <v>0.05</v>
      </c>
      <c r="Q111" s="428" t="n">
        <v>0.05</v>
      </c>
      <c r="R111" s="428" t="n">
        <v>0.05</v>
      </c>
      <c r="S111" s="428" t="n">
        <v>0.05</v>
      </c>
      <c r="T111" s="428" t="n">
        <v>0.05</v>
      </c>
      <c r="U111" s="428" t="n">
        <v>0.05</v>
      </c>
      <c r="V111" s="428" t="n">
        <v>0</v>
      </c>
      <c r="W111" s="428" t="n">
        <v>0</v>
      </c>
      <c r="X111" s="428" t="n">
        <v>0</v>
      </c>
      <c r="Y111" s="428" t="n">
        <v>0</v>
      </c>
      <c r="Z111" s="428" t="n">
        <v>0</v>
      </c>
      <c r="AA111" s="428" t="n">
        <v>0</v>
      </c>
      <c r="AB111" s="428" t="n">
        <v>0</v>
      </c>
      <c r="AC111" s="428" t="n">
        <v>0</v>
      </c>
      <c r="AD111" s="428" t="n">
        <v>0</v>
      </c>
      <c r="AE111" s="428" t="n">
        <v>0</v>
      </c>
      <c r="AF111" s="428" t="n">
        <v>0</v>
      </c>
    </row>
    <row r="112" customFormat="false" ht="12.75" hidden="false" customHeight="false" outlineLevel="0" collapsed="false">
      <c r="A112" s="424" t="s">
        <v>339</v>
      </c>
      <c r="B112" s="426" t="n">
        <f aca="false">CHOOSE($B$98,B110,B111)</f>
        <v>0.05</v>
      </c>
      <c r="C112" s="426" t="n">
        <f aca="false">CHOOSE($B$98,C110,C111)</f>
        <v>0.05</v>
      </c>
      <c r="D112" s="426" t="n">
        <f aca="false">CHOOSE($B$98,D110,D111)</f>
        <v>0.05</v>
      </c>
      <c r="E112" s="426" t="n">
        <f aca="false">CHOOSE($B$98,E110,E111)</f>
        <v>0.05</v>
      </c>
      <c r="F112" s="426" t="n">
        <f aca="false">CHOOSE($B$98,F110,F111)</f>
        <v>0.05</v>
      </c>
      <c r="G112" s="426" t="n">
        <f aca="false">CHOOSE($B$98,G110,G111)</f>
        <v>0.05</v>
      </c>
      <c r="H112" s="426" t="n">
        <f aca="false">CHOOSE($B$98,H110,H111)</f>
        <v>0.05</v>
      </c>
      <c r="I112" s="426" t="n">
        <f aca="false">CHOOSE($B$98,I110,I111)</f>
        <v>0.05</v>
      </c>
      <c r="J112" s="426" t="n">
        <f aca="false">CHOOSE($B$98,J110,J111)</f>
        <v>0.05</v>
      </c>
      <c r="K112" s="426" t="n">
        <f aca="false">CHOOSE($B$98,K110,K111)</f>
        <v>0.05</v>
      </c>
      <c r="L112" s="426" t="n">
        <f aca="false">CHOOSE($B$98,L110,L111)</f>
        <v>0.05</v>
      </c>
      <c r="M112" s="426" t="n">
        <f aca="false">CHOOSE($B$98,M110,M111)</f>
        <v>0.05</v>
      </c>
      <c r="N112" s="426" t="n">
        <f aca="false">CHOOSE($B$98,N110,N111)</f>
        <v>0.05</v>
      </c>
      <c r="O112" s="426" t="n">
        <f aca="false">CHOOSE($B$98,O110,O111)</f>
        <v>0.05</v>
      </c>
      <c r="P112" s="426" t="n">
        <f aca="false">CHOOSE($B$98,P110,P111)</f>
        <v>0.05</v>
      </c>
      <c r="Q112" s="426" t="n">
        <f aca="false">CHOOSE($B$98,Q110,Q111)</f>
        <v>0.05</v>
      </c>
      <c r="R112" s="426" t="n">
        <f aca="false">CHOOSE($B$98,R110,R111)</f>
        <v>0.05</v>
      </c>
      <c r="S112" s="426" t="n">
        <f aca="false">CHOOSE($B$98,S110,S111)</f>
        <v>0.05</v>
      </c>
      <c r="T112" s="426" t="n">
        <f aca="false">CHOOSE($B$98,T110,T111)</f>
        <v>0.05</v>
      </c>
      <c r="U112" s="426" t="n">
        <f aca="false">CHOOSE($B$98,U110,U111)</f>
        <v>0.05</v>
      </c>
      <c r="V112" s="426" t="n">
        <f aca="false">CHOOSE($B$98,V110,V111)</f>
        <v>0</v>
      </c>
      <c r="W112" s="426" t="n">
        <f aca="false">CHOOSE($B$98,W110,W111)</f>
        <v>0</v>
      </c>
      <c r="X112" s="426" t="n">
        <f aca="false">CHOOSE($B$98,X110,X111)</f>
        <v>0</v>
      </c>
      <c r="Y112" s="426" t="n">
        <f aca="false">CHOOSE($B$98,Y110,Y111)</f>
        <v>0</v>
      </c>
      <c r="Z112" s="426" t="n">
        <f aca="false">CHOOSE($B$98,Z110,Z111)</f>
        <v>0</v>
      </c>
      <c r="AA112" s="426" t="n">
        <f aca="false">CHOOSE($B$98,AA110,AA111)</f>
        <v>0</v>
      </c>
      <c r="AB112" s="426" t="n">
        <f aca="false">CHOOSE($B$98,AB110,AB111)</f>
        <v>0</v>
      </c>
      <c r="AC112" s="426" t="n">
        <f aca="false">CHOOSE($B$98,AC110,AC111)</f>
        <v>0</v>
      </c>
      <c r="AD112" s="426" t="n">
        <f aca="false">CHOOSE($B$98,AD110,AD111)</f>
        <v>0</v>
      </c>
      <c r="AE112" s="426" t="n">
        <f aca="false">CHOOSE($B$98,AE110,AE111)</f>
        <v>0</v>
      </c>
      <c r="AF112" s="426" t="n">
        <f aca="false">CHOOSE($B$98,AF110,AF111)</f>
        <v>0</v>
      </c>
    </row>
    <row r="113" customFormat="false" ht="12.75" hidden="false" customHeight="false" outlineLevel="0" collapsed="false">
      <c r="AA113" s="1"/>
      <c r="AB113" s="1"/>
    </row>
    <row r="114" customFormat="false" ht="12.75" hidden="false" customHeight="false" outlineLevel="0" collapsed="false">
      <c r="AA114" s="1"/>
      <c r="AB114" s="1"/>
    </row>
    <row r="115" customFormat="false" ht="12.75" hidden="false" customHeight="false" outlineLevel="0" collapsed="false">
      <c r="B115" s="307"/>
      <c r="C115" s="307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  <c r="O115" s="307"/>
      <c r="P115" s="307"/>
      <c r="Q115" s="307"/>
      <c r="R115" s="307"/>
      <c r="S115" s="307"/>
      <c r="T115" s="307"/>
      <c r="U115" s="307"/>
      <c r="V115" s="307"/>
      <c r="W115" s="307"/>
      <c r="X115" s="307"/>
      <c r="Y115" s="307"/>
      <c r="Z115" s="307"/>
      <c r="AA115" s="307"/>
      <c r="AB115" s="307"/>
      <c r="AC115" s="307"/>
      <c r="AD115" s="307"/>
      <c r="AE115" s="307"/>
      <c r="AF115" s="307"/>
      <c r="AG115" s="307"/>
      <c r="AH115" s="307"/>
      <c r="AI115" s="307"/>
      <c r="AJ115" s="307"/>
      <c r="AK115" s="307"/>
      <c r="AL115" s="307"/>
      <c r="AM115" s="307"/>
      <c r="AN115" s="307"/>
      <c r="AO115" s="307"/>
      <c r="AP115" s="307"/>
      <c r="AQ115" s="307"/>
      <c r="AR115" s="307"/>
      <c r="AS115" s="307"/>
      <c r="AT115" s="307"/>
      <c r="AU115" s="307"/>
      <c r="AV115" s="307"/>
    </row>
    <row r="116" customFormat="false" ht="12.75" hidden="false" customHeight="false" outlineLevel="0" collapsed="false">
      <c r="A116" s="304" t="s">
        <v>340</v>
      </c>
      <c r="B116" s="224" t="n">
        <v>0</v>
      </c>
      <c r="C116" s="224" t="n">
        <v>1</v>
      </c>
      <c r="D116" s="224" t="n">
        <v>2</v>
      </c>
      <c r="E116" s="224" t="n">
        <v>3</v>
      </c>
      <c r="F116" s="224" t="n">
        <v>4</v>
      </c>
      <c r="G116" s="224" t="n">
        <v>5</v>
      </c>
      <c r="H116" s="224" t="n">
        <v>6</v>
      </c>
      <c r="I116" s="224" t="n">
        <v>7</v>
      </c>
      <c r="J116" s="224" t="n">
        <v>8</v>
      </c>
      <c r="K116" s="224" t="n">
        <v>9</v>
      </c>
      <c r="L116" s="224" t="n">
        <v>10</v>
      </c>
      <c r="M116" s="224" t="n">
        <v>11</v>
      </c>
      <c r="N116" s="224" t="n">
        <v>12</v>
      </c>
      <c r="O116" s="224" t="n">
        <v>13</v>
      </c>
      <c r="P116" s="224" t="n">
        <v>14</v>
      </c>
      <c r="Q116" s="224" t="n">
        <v>15</v>
      </c>
      <c r="R116" s="224" t="n">
        <v>16</v>
      </c>
      <c r="S116" s="224" t="n">
        <v>17</v>
      </c>
      <c r="T116" s="224" t="n">
        <v>18</v>
      </c>
      <c r="U116" s="224" t="n">
        <v>19</v>
      </c>
      <c r="V116" s="224" t="n">
        <v>20</v>
      </c>
      <c r="W116" s="224" t="n">
        <v>21</v>
      </c>
      <c r="X116" s="224" t="n">
        <v>22</v>
      </c>
      <c r="Y116" s="224" t="n">
        <v>23</v>
      </c>
      <c r="Z116" s="224" t="n">
        <v>24</v>
      </c>
      <c r="AA116" s="224" t="n">
        <v>25</v>
      </c>
      <c r="AB116" s="224" t="n">
        <v>26</v>
      </c>
      <c r="AC116" s="224" t="n">
        <v>27</v>
      </c>
      <c r="AD116" s="224" t="n">
        <v>28</v>
      </c>
      <c r="AE116" s="224" t="n">
        <v>29</v>
      </c>
      <c r="AF116" s="224" t="n">
        <v>30</v>
      </c>
      <c r="AG116" s="429"/>
      <c r="AH116" s="429"/>
      <c r="AI116" s="429"/>
      <c r="AJ116" s="429"/>
      <c r="AK116" s="429"/>
      <c r="AL116" s="429"/>
      <c r="AM116" s="429"/>
      <c r="AN116" s="429"/>
      <c r="AO116" s="429"/>
      <c r="AP116" s="429"/>
      <c r="AQ116" s="429"/>
    </row>
    <row r="117" customFormat="false" ht="12.75" hidden="false" customHeight="false" outlineLevel="0" collapsed="false">
      <c r="B117" s="224" t="n">
        <v>0.5</v>
      </c>
      <c r="C117" s="224" t="n">
        <v>1.5</v>
      </c>
      <c r="D117" s="224" t="n">
        <v>2.5</v>
      </c>
      <c r="E117" s="224" t="n">
        <v>3.5</v>
      </c>
      <c r="F117" s="224" t="n">
        <v>4.5</v>
      </c>
      <c r="G117" s="224" t="n">
        <v>5.5</v>
      </c>
      <c r="H117" s="224" t="n">
        <v>6.5</v>
      </c>
      <c r="I117" s="224" t="n">
        <v>7.5</v>
      </c>
      <c r="J117" s="224" t="n">
        <v>8.5</v>
      </c>
      <c r="K117" s="224" t="n">
        <v>9.5</v>
      </c>
      <c r="L117" s="224" t="n">
        <v>10.5</v>
      </c>
      <c r="M117" s="224" t="n">
        <v>11.5</v>
      </c>
      <c r="N117" s="224" t="n">
        <v>12.5</v>
      </c>
      <c r="O117" s="224" t="n">
        <v>13.5</v>
      </c>
      <c r="P117" s="224" t="n">
        <v>14.5</v>
      </c>
      <c r="Q117" s="224" t="n">
        <v>15.5</v>
      </c>
      <c r="R117" s="224" t="n">
        <v>16.5</v>
      </c>
      <c r="S117" s="224" t="n">
        <v>17.5</v>
      </c>
      <c r="T117" s="224" t="n">
        <v>18.5</v>
      </c>
      <c r="U117" s="224" t="n">
        <v>19.5</v>
      </c>
      <c r="V117" s="224" t="n">
        <v>20.5</v>
      </c>
      <c r="W117" s="224" t="n">
        <v>21.5</v>
      </c>
      <c r="X117" s="224" t="n">
        <v>22.5</v>
      </c>
      <c r="Y117" s="224" t="n">
        <v>23.5</v>
      </c>
      <c r="Z117" s="224" t="n">
        <v>24.5</v>
      </c>
      <c r="AA117" s="224" t="n">
        <v>25.5</v>
      </c>
      <c r="AB117" s="224" t="n">
        <v>26.5</v>
      </c>
      <c r="AC117" s="224" t="n">
        <v>27.5</v>
      </c>
      <c r="AD117" s="224" t="n">
        <v>28.5</v>
      </c>
      <c r="AE117" s="224" t="n">
        <v>29.5</v>
      </c>
      <c r="AF117" s="224" t="n">
        <v>30.5</v>
      </c>
      <c r="AG117" s="224"/>
      <c r="AH117" s="224"/>
      <c r="AI117" s="224"/>
      <c r="AJ117" s="224"/>
      <c r="AK117" s="224"/>
      <c r="AL117" s="224"/>
      <c r="AM117" s="224"/>
      <c r="AN117" s="224"/>
      <c r="AO117" s="399"/>
      <c r="AP117" s="399"/>
    </row>
    <row r="118" customFormat="false" ht="12.75" hidden="false" customHeight="false" outlineLevel="0" collapsed="false">
      <c r="A118" s="304" t="s">
        <v>341</v>
      </c>
      <c r="B118" s="430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399"/>
      <c r="Y118" s="399"/>
      <c r="Z118" s="399"/>
      <c r="AA118" s="399"/>
      <c r="AB118" s="399"/>
      <c r="AC118" s="399"/>
      <c r="AD118" s="399"/>
      <c r="AE118" s="399"/>
      <c r="AF118" s="399"/>
      <c r="AG118" s="399"/>
      <c r="AH118" s="399"/>
      <c r="AI118" s="399"/>
    </row>
    <row r="119" customFormat="false" ht="12.75" hidden="false" customHeight="false" outlineLevel="0" collapsed="false">
      <c r="A119" s="0" t="s">
        <v>136</v>
      </c>
      <c r="B119" s="431" t="n">
        <f aca="false">(SUMPRODUCT(B116:W116,B32:W32)+SUMPRODUCT(B117:W117,B37:W37))/B31</f>
        <v>8.62</v>
      </c>
      <c r="C119" s="0"/>
      <c r="D119" s="0"/>
      <c r="E119" s="0"/>
      <c r="F119" s="399"/>
      <c r="G119" s="399"/>
      <c r="H119" s="399"/>
      <c r="I119" s="399"/>
      <c r="J119" s="399"/>
      <c r="K119" s="399"/>
      <c r="L119" s="399"/>
      <c r="M119" s="399"/>
      <c r="N119" s="399"/>
      <c r="O119" s="399"/>
      <c r="P119" s="399"/>
      <c r="Q119" s="399"/>
      <c r="R119" s="399"/>
      <c r="S119" s="399"/>
      <c r="T119" s="399"/>
      <c r="U119" s="399"/>
      <c r="V119" s="399"/>
      <c r="W119" s="399"/>
      <c r="X119" s="399"/>
      <c r="Y119" s="399"/>
      <c r="Z119" s="399"/>
      <c r="AA119" s="432"/>
      <c r="AB119" s="432"/>
      <c r="AC119" s="399"/>
      <c r="AD119" s="399"/>
      <c r="AE119" s="399"/>
      <c r="AF119" s="399"/>
      <c r="AG119" s="399"/>
      <c r="AH119" s="399"/>
      <c r="AI119" s="399"/>
      <c r="AJ119" s="399"/>
      <c r="AK119" s="399"/>
      <c r="AL119" s="399"/>
      <c r="AM119" s="399"/>
      <c r="AN119" s="399"/>
      <c r="AO119" s="399"/>
      <c r="AP119" s="399"/>
    </row>
    <row r="120" customFormat="false" ht="12.75" hidden="false" customHeight="false" outlineLevel="0" collapsed="false">
      <c r="A120" s="0" t="s">
        <v>137</v>
      </c>
      <c r="B120" s="431" t="e">
        <f aca="false">(SUMPRODUCT(B48:W48,B116:W116)+SUMPRODUCT(B117:W117,B53:W53))/B47</f>
        <v>#DIV/0!</v>
      </c>
      <c r="C120" s="0"/>
      <c r="D120" s="0"/>
      <c r="E120" s="0"/>
    </row>
    <row r="121" customFormat="false" ht="12.75" hidden="false" customHeight="false" outlineLevel="0" collapsed="false">
      <c r="A121" s="0" t="s">
        <v>138</v>
      </c>
      <c r="B121" s="431" t="e">
        <f aca="false">(SUMPRODUCT(B116:W116,B64:W64)+SUMPRODUCT(B117:W117,B69:W69))/B63</f>
        <v>#DIV/0!</v>
      </c>
      <c r="C121" s="0"/>
      <c r="D121" s="0"/>
      <c r="E121" s="0"/>
    </row>
    <row r="122" customFormat="false" ht="12.75" hidden="false" customHeight="false" outlineLevel="0" collapsed="false">
      <c r="A122" s="0"/>
      <c r="B122" s="0"/>
      <c r="C122" s="0"/>
      <c r="D122" s="0"/>
      <c r="E122" s="0"/>
    </row>
    <row r="123" customFormat="false" ht="12.75" hidden="false" customHeight="false" outlineLevel="0" collapsed="false">
      <c r="A123" s="0"/>
      <c r="B123" s="0"/>
      <c r="C123" s="0"/>
      <c r="D123" s="0"/>
      <c r="E123" s="0"/>
    </row>
    <row r="124" customFormat="false" ht="12.75" hidden="false" customHeight="false" outlineLevel="0" collapsed="false">
      <c r="A124" s="0"/>
      <c r="B124" s="0"/>
      <c r="C124" s="0"/>
      <c r="D124" s="0"/>
      <c r="E124" s="0"/>
    </row>
    <row r="125" customFormat="false" ht="12.75" hidden="false" customHeight="false" outlineLevel="0" collapsed="false">
      <c r="A125" s="0"/>
      <c r="B125" s="0"/>
      <c r="C125" s="0"/>
      <c r="D125" s="0"/>
      <c r="E125" s="0"/>
    </row>
    <row r="126" customFormat="false" ht="12.75" hidden="false" customHeight="false" outlineLevel="0" collapsed="false">
      <c r="A126" s="0"/>
      <c r="B126" s="0"/>
      <c r="C126" s="0"/>
      <c r="D126" s="0"/>
      <c r="E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433"/>
      <c r="G128" s="433"/>
      <c r="H128" s="433"/>
      <c r="I128" s="433"/>
      <c r="J128" s="433"/>
      <c r="K128" s="433"/>
      <c r="L128" s="433"/>
      <c r="M128" s="433"/>
      <c r="N128" s="433"/>
      <c r="O128" s="433"/>
      <c r="P128" s="433"/>
      <c r="Q128" s="433"/>
      <c r="R128" s="433"/>
      <c r="S128" s="433"/>
      <c r="T128" s="433"/>
      <c r="U128" s="433"/>
      <c r="V128" s="433"/>
      <c r="W128" s="0"/>
      <c r="X128" s="0"/>
      <c r="Y128" s="0"/>
      <c r="Z128" s="0"/>
      <c r="AA128" s="0"/>
      <c r="AB128" s="0"/>
      <c r="AC128" s="0"/>
      <c r="AD128" s="0"/>
      <c r="AE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</row>
    <row r="131" customFormat="false" ht="12.75" hidden="false" customHeight="false" outlineLevel="0" collapsed="false">
      <c r="A131" s="0"/>
      <c r="B131" s="0"/>
      <c r="C131" s="0"/>
      <c r="D131" s="0"/>
      <c r="E131" s="0"/>
    </row>
    <row r="132" customFormat="false" ht="12.75" hidden="false" customHeight="false" outlineLevel="0" collapsed="false">
      <c r="A132" s="0"/>
      <c r="B132" s="0"/>
      <c r="C132" s="0"/>
      <c r="D132" s="0"/>
      <c r="E132" s="0"/>
    </row>
    <row r="133" customFormat="false" ht="12.75" hidden="false" customHeight="false" outlineLevel="0" collapsed="false">
      <c r="A133" s="0"/>
      <c r="B133" s="0"/>
      <c r="C133" s="0"/>
      <c r="D133" s="0"/>
      <c r="E133" s="0"/>
    </row>
    <row r="134" customFormat="false" ht="12.75" hidden="false" customHeight="false" outlineLevel="0" collapsed="false">
      <c r="A134" s="0"/>
      <c r="B134" s="0"/>
      <c r="C134" s="0"/>
      <c r="D134" s="0"/>
      <c r="E134" s="0"/>
    </row>
    <row r="135" customFormat="false" ht="12.75" hidden="false" customHeight="false" outlineLevel="0" collapsed="false">
      <c r="A135" s="0"/>
      <c r="B135" s="0"/>
      <c r="C135" s="0"/>
      <c r="D135" s="0"/>
      <c r="E135" s="0"/>
    </row>
  </sheetData>
  <mergeCells count="3">
    <mergeCell ref="C4:F4"/>
    <mergeCell ref="I4:L4"/>
    <mergeCell ref="O4:R4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2000-01-26T13:35:16Z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