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ositions" sheetId="2" state="visible" r:id="rId4"/>
    <sheet name="Prior Day Position" sheetId="3" state="visible" r:id="rId5"/>
    <sheet name="PnL check" sheetId="4" state="visible" r:id="rId6"/>
    <sheet name="EOL LINKS" sheetId="5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1" name="_xlnm.Print_Area" vbProcedure="false">Positions!$B$1:$S$36</definedName>
    <definedName function="false" hidden="false" name="april" vbProcedure="false">#REF!</definedName>
    <definedName function="false" hidden="false" name="comed" vbProcedure="false">#REF!</definedName>
    <definedName function="false" hidden="false" name="gas2" vbProcedure="false">#REF!</definedName>
    <definedName function="false" hidden="false" name="gas_ldc" vbProcedure="false">#REF!</definedName>
    <definedName function="false" hidden="false" name="heat_index" vbProcedure="false">#REF!</definedName>
    <definedName function="false" hidden="false" name="NumProducts" vbProcedure="false">'EOL LINKS'!$G$1</definedName>
    <definedName function="false" hidden="false" name="TopCurrDate" vbProcedure="false">[3]Top!$E$4</definedName>
    <definedName function="false" hidden="false" name="weather1" vbProcedure="false">#REF!</definedName>
    <definedName function="false" hidden="false" localSheetId="0" name="tblPriorPrice" vbProcedure="false">#REF!</definedName>
    <definedName function="false" hidden="false" localSheetId="2" name="tblPriorPrice" vbProcedure="false">'Prior Day Position'!$BP$2:$BU$279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<sst xmlns="http://schemas.openxmlformats.org/spreadsheetml/2006/main" count="537" uniqueCount="242">
  <si>
    <t xml:space="preserve">Ercot Bid</t>
  </si>
  <si>
    <t xml:space="preserve">Ercot Offer</t>
  </si>
  <si>
    <t xml:space="preserve">Nymex Close</t>
  </si>
  <si>
    <t xml:space="preserve">Nymex Delta</t>
  </si>
  <si>
    <t xml:space="preserve">Nymex Bid</t>
  </si>
  <si>
    <t xml:space="preserve">Nymex Offer</t>
  </si>
  <si>
    <t xml:space="preserve">HR Bid</t>
  </si>
  <si>
    <t xml:space="preserve">HR Offer</t>
  </si>
  <si>
    <t xml:space="preserve">HR Mid</t>
  </si>
  <si>
    <t xml:space="preserve">Prev HR</t>
  </si>
  <si>
    <t xml:space="preserve">delta</t>
  </si>
  <si>
    <t xml:space="preserve">Price Mid</t>
  </si>
  <si>
    <t xml:space="preserve">Pri ce Change</t>
  </si>
  <si>
    <t xml:space="preserve">Nov-01</t>
  </si>
  <si>
    <t xml:space="preserve">Dec-01</t>
  </si>
  <si>
    <t xml:space="preserve">Jan-02</t>
  </si>
  <si>
    <t xml:space="preserve">Jan-Feb 02</t>
  </si>
  <si>
    <t xml:space="preserve">Mar-Apr 02</t>
  </si>
  <si>
    <t xml:space="preserve">May-02</t>
  </si>
  <si>
    <t xml:space="preserve">Jun-02</t>
  </si>
  <si>
    <t xml:space="preserve">Jul-Aug 02</t>
  </si>
  <si>
    <t xml:space="preserve">Sep-02</t>
  </si>
  <si>
    <t xml:space="preserve">cal 03 days</t>
  </si>
  <si>
    <t xml:space="preserve">Q4-02</t>
  </si>
  <si>
    <t xml:space="preserve">Cal-02 Legs</t>
  </si>
  <si>
    <t xml:space="preserve">Jan-Dec 02</t>
  </si>
  <si>
    <t xml:space="preserve">legs</t>
  </si>
  <si>
    <t xml:space="preserve">Strip</t>
  </si>
  <si>
    <t xml:space="preserve">Arb</t>
  </si>
  <si>
    <t xml:space="preserve">Jan-Feb 03</t>
  </si>
  <si>
    <t xml:space="preserve">Mar-Apr 03</t>
  </si>
  <si>
    <t xml:space="preserve">May-03</t>
  </si>
  <si>
    <t xml:space="preserve">Jun-03</t>
  </si>
  <si>
    <t xml:space="preserve">Jul-Aug 03</t>
  </si>
  <si>
    <t xml:space="preserve">Sep-03</t>
  </si>
  <si>
    <t xml:space="preserve">Q4-03</t>
  </si>
  <si>
    <t xml:space="preserve">Cal 03 Legs</t>
  </si>
  <si>
    <t xml:space="preserve">Cal-03</t>
  </si>
  <si>
    <t xml:space="preserve">Legs</t>
  </si>
  <si>
    <t xml:space="preserve">Cal-04</t>
  </si>
  <si>
    <t xml:space="preserve">Cal-05</t>
  </si>
  <si>
    <t xml:space="preserve">Cal 02 OP</t>
  </si>
  <si>
    <t xml:space="preserve">Cal 03 OP</t>
  </si>
  <si>
    <t xml:space="preserve">Cal 04 OP</t>
  </si>
  <si>
    <t xml:space="preserve">Cal 05 OP</t>
  </si>
  <si>
    <t xml:space="preserve">close</t>
  </si>
  <si>
    <t xml:space="preserve">bid</t>
  </si>
  <si>
    <t xml:space="preserve">offer</t>
  </si>
  <si>
    <t xml:space="preserve">Power</t>
  </si>
  <si>
    <t xml:space="preserve">Gas</t>
  </si>
  <si>
    <t xml:space="preserve">total</t>
  </si>
  <si>
    <t xml:space="preserve">Jan-03</t>
  </si>
  <si>
    <t xml:space="preserve">Feb-02</t>
  </si>
  <si>
    <t xml:space="preserve">Feb-03</t>
  </si>
  <si>
    <t xml:space="preserve">Mar-02</t>
  </si>
  <si>
    <t xml:space="preserve">Mar-03</t>
  </si>
  <si>
    <t xml:space="preserve">Apr-02</t>
  </si>
  <si>
    <t xml:space="preserve">Apr-03</t>
  </si>
  <si>
    <t xml:space="preserve">Jul-02</t>
  </si>
  <si>
    <t xml:space="preserve">Jul-03</t>
  </si>
  <si>
    <t xml:space="preserve">Aug-02</t>
  </si>
  <si>
    <t xml:space="preserve">Aug-03</t>
  </si>
  <si>
    <t xml:space="preserve">Oct-02</t>
  </si>
  <si>
    <t xml:space="preserve">Oct-03</t>
  </si>
  <si>
    <t xml:space="preserve">Nov-02</t>
  </si>
  <si>
    <t xml:space="preserve">Nov-03</t>
  </si>
  <si>
    <t xml:space="preserve">Dec-02</t>
  </si>
  <si>
    <t xml:space="preserve">Dec-03</t>
  </si>
  <si>
    <t xml:space="preserve">Nymex Nov-01Mar-02</t>
  </si>
  <si>
    <t xml:space="preserve">Nymex Apr-Oct 02</t>
  </si>
  <si>
    <t xml:space="preserve">CAL 03</t>
  </si>
  <si>
    <t xml:space="preserve">CAL 04</t>
  </si>
  <si>
    <t xml:space="preserve">CAL 05</t>
  </si>
  <si>
    <t xml:space="preserve">Date</t>
  </si>
  <si>
    <t xml:space="preserve">ERCOT</t>
  </si>
  <si>
    <t xml:space="preserve">Ercot</t>
  </si>
  <si>
    <t xml:space="preserve">Total</t>
  </si>
  <si>
    <t xml:space="preserve">Net Positions</t>
  </si>
  <si>
    <t xml:space="preserve">Off-PK @</t>
  </si>
  <si>
    <t xml:space="preserve">HEDGE TOOL</t>
  </si>
  <si>
    <t xml:space="preserve">Sellers</t>
  </si>
  <si>
    <t xml:space="preserve">North</t>
  </si>
  <si>
    <t xml:space="preserve">West</t>
  </si>
  <si>
    <t xml:space="preserve">Pos</t>
  </si>
  <si>
    <t xml:space="preserve">On-Pk</t>
  </si>
  <si>
    <t xml:space="preserve">WEEKS</t>
  </si>
  <si>
    <t xml:space="preserve">Cash</t>
  </si>
  <si>
    <t xml:space="preserve">Off-Pk</t>
  </si>
  <si>
    <t xml:space="preserve">Cal 01</t>
  </si>
  <si>
    <t xml:space="preserve">Nov-mar</t>
  </si>
  <si>
    <t xml:space="preserve">Cal 02</t>
  </si>
  <si>
    <t xml:space="preserve">Apr-Dec</t>
  </si>
  <si>
    <t xml:space="preserve">Cal 03</t>
  </si>
  <si>
    <t xml:space="preserve">back</t>
  </si>
  <si>
    <t xml:space="preserve">Cal 04</t>
  </si>
  <si>
    <t xml:space="preserve">Cal 05</t>
  </si>
  <si>
    <t xml:space="preserve">Totals</t>
  </si>
  <si>
    <t xml:space="preserve">Tot Pwr</t>
  </si>
  <si>
    <t xml:space="preserve">Cash Position</t>
  </si>
  <si>
    <t xml:space="preserve">Nat Gas</t>
  </si>
  <si>
    <t xml:space="preserve">TERM POSITIONS</t>
  </si>
  <si>
    <t xml:space="preserve">Interest</t>
  </si>
  <si>
    <t xml:space="preserve">Discount</t>
  </si>
  <si>
    <t xml:space="preserve">On-Peak</t>
  </si>
  <si>
    <t xml:space="preserve"># days</t>
  </si>
  <si>
    <t xml:space="preserve">NAT GAS POSITIONS</t>
  </si>
  <si>
    <t xml:space="preserve">Contracts</t>
  </si>
  <si>
    <t xml:space="preserve">Rate</t>
  </si>
  <si>
    <t xml:space="preserve">Factor</t>
  </si>
  <si>
    <t xml:space="preserve">2001</t>
  </si>
  <si>
    <t xml:space="preserve">Volume</t>
  </si>
  <si>
    <t xml:space="preserve">Total Vol</t>
  </si>
  <si>
    <t xml:space="preserve">Interest Rate</t>
  </si>
  <si>
    <t xml:space="preserve">Disc. Factor</t>
  </si>
  <si>
    <t xml:space="preserve">Oct</t>
  </si>
  <si>
    <t xml:space="preserve">Nov</t>
  </si>
  <si>
    <t xml:space="preserve">Dec </t>
  </si>
  <si>
    <t xml:space="preserve">Nov 01</t>
  </si>
  <si>
    <t xml:space="preserve">Dec 01</t>
  </si>
  <si>
    <t xml:space="preserve">Jan 02</t>
  </si>
  <si>
    <t xml:space="preserve">Jan</t>
  </si>
  <si>
    <t xml:space="preserve">Feb 02</t>
  </si>
  <si>
    <t xml:space="preserve">Feb</t>
  </si>
  <si>
    <t xml:space="preserve">Nov/Mar</t>
  </si>
  <si>
    <t xml:space="preserve">Mar</t>
  </si>
  <si>
    <t xml:space="preserve">Apr/Oct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</si>
  <si>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</si>
  <si>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</si>
  <si>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</si>
  <si>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</si>
  <si>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</si>
  <si>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</si>
  <si>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nov</t>
  </si>
  <si>
    <t xml:space="preserve">dec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</si>
  <si>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</si>
  <si>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</si>
  <si>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</si>
  <si>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</si>
  <si>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</si>
  <si>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</si>
  <si>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</si>
  <si>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</si>
  <si>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</si>
  <si>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</si>
  <si>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</si>
  <si>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Cal 02 Off-PK</t>
  </si>
  <si>
    <t xml:space="preserve">Cal 03 Off-PK</t>
  </si>
  <si>
    <t xml:space="preserve">Cal 03 discount</t>
  </si>
  <si>
    <t xml:space="preserve">Cal 04 Off-PK</t>
  </si>
  <si>
    <t xml:space="preserve">Cal 04 discount</t>
  </si>
  <si>
    <t xml:space="preserve">Cal 05 discount</t>
  </si>
  <si>
    <t xml:space="preserve">Delta</t>
  </si>
  <si>
    <t xml:space="preserve">NEW DEALS</t>
  </si>
  <si>
    <t xml:space="preserve">SELLERS</t>
  </si>
  <si>
    <t xml:space="preserve">NORTH</t>
  </si>
  <si>
    <t xml:space="preserve">WEST</t>
  </si>
  <si>
    <t xml:space="preserve">Position</t>
  </si>
  <si>
    <t xml:space="preserve">D-1</t>
  </si>
  <si>
    <t xml:space="preserve">D</t>
  </si>
  <si>
    <t xml:space="preserve">BUY</t>
  </si>
  <si>
    <t xml:space="preserve">SELL</t>
  </si>
  <si>
    <t xml:space="preserve">VOLUME</t>
  </si>
  <si>
    <t xml:space="preserve">P/L</t>
  </si>
  <si>
    <t xml:space="preserve">NOTES</t>
  </si>
  <si>
    <t xml:space="preserve">Change</t>
  </si>
  <si>
    <t xml:space="preserve">Other</t>
  </si>
  <si>
    <t xml:space="preserve">DAILY P/L</t>
  </si>
  <si>
    <t xml:space="preserve">Cash ERCOT</t>
  </si>
  <si>
    <t xml:space="preserve">Term Power</t>
  </si>
  <si>
    <t xml:space="preserve">other</t>
  </si>
  <si>
    <t xml:space="preserve">New Deals</t>
  </si>
  <si>
    <t xml:space="preserve">TOTAL</t>
  </si>
  <si>
    <t xml:space="preserve">New Deals Total</t>
  </si>
  <si>
    <t xml:space="preserve">Cal 02 off-peak</t>
  </si>
  <si>
    <t xml:space="preserve">Cal 03 off-peak</t>
  </si>
  <si>
    <t xml:space="preserve">Cal 04 off-peak</t>
  </si>
  <si>
    <t xml:space="preserve">SUM TERM P/L</t>
  </si>
  <si>
    <t xml:space="preserve">.</t>
  </si>
  <si>
    <t xml:space="preserve">NAT GAS P/L</t>
  </si>
  <si>
    <t xml:space="preserve">Price</t>
  </si>
  <si>
    <t xml:space="preserve">Current</t>
  </si>
  <si>
    <t xml:space="preserve">Nov/March</t>
  </si>
  <si>
    <t xml:space="preserve">      Total</t>
  </si>
  <si>
    <t xml:space="preserve">op</t>
  </si>
  <si>
    <t xml:space="preserve">rtc</t>
  </si>
  <si>
    <t xml:space="preserve">winter</t>
  </si>
  <si>
    <t xml:space="preserve">marchapril</t>
  </si>
  <si>
    <t xml:space="preserve">may02</t>
  </si>
  <si>
    <t xml:space="preserve">q402</t>
  </si>
  <si>
    <t xml:space="preserve">june03</t>
  </si>
  <si>
    <t xml:space="preserve">summer03</t>
  </si>
  <si>
    <t xml:space="preserve">cal03</t>
  </si>
  <si>
    <t xml:space="preserve">cal04 off</t>
  </si>
  <si>
    <t xml:space="preserve">Product ID</t>
  </si>
  <si>
    <t xml:space="preserve">Bid price</t>
  </si>
  <si>
    <t xml:space="preserve">Offer Price</t>
  </si>
  <si>
    <t xml:space="preserve">Actual time stamp</t>
  </si>
  <si>
    <t xml:space="preserve">Description</t>
  </si>
  <si>
    <t xml:space="preserve">MID MKT</t>
  </si>
  <si>
    <t xml:space="preserve">Enter number of products</t>
  </si>
  <si>
    <t xml:space="preserve">Min</t>
  </si>
  <si>
    <t xml:space="preserve">Max</t>
  </si>
  <si>
    <t xml:space="preserve">Power Row</t>
  </si>
  <si>
    <t xml:space="preserve">Gas Row</t>
  </si>
  <si>
    <t xml:space="preserve">nym oct 01</t>
  </si>
  <si>
    <t xml:space="preserve">Next Day HeatRate</t>
  </si>
  <si>
    <t xml:space="preserve">nym nov 01</t>
  </si>
  <si>
    <t xml:space="preserve">Bal Mo HeatRate</t>
  </si>
  <si>
    <t xml:space="preserve">nym dec 01</t>
  </si>
  <si>
    <t xml:space="preserve">Prompt Month HeatRate</t>
  </si>
  <si>
    <t xml:space="preserve">nym jan 02</t>
  </si>
  <si>
    <t xml:space="preserve">JUNE4-8</t>
  </si>
  <si>
    <t xml:space="preserve">Nymex Nov-March</t>
  </si>
  <si>
    <t xml:space="preserve">29-31</t>
  </si>
  <si>
    <t xml:space="preserve">nym apr/oct 02</t>
  </si>
  <si>
    <t xml:space="preserve">Nymex Cal-02</t>
  </si>
  <si>
    <t xml:space="preserve">nymex cal-03</t>
  </si>
  <si>
    <t xml:space="preserve">Ercot Cal 05 off peak</t>
  </si>
  <si>
    <t xml:space="preserve">Ercot Cal 04 off peak</t>
  </si>
  <si>
    <t xml:space="preserve">Ercot Cal 03 off peak</t>
  </si>
  <si>
    <t xml:space="preserve">Ercot Cal 02 off peak</t>
  </si>
  <si>
    <t xml:space="preserve">erc oct 01</t>
  </si>
  <si>
    <t xml:space="preserve">erc nov 01</t>
  </si>
  <si>
    <t xml:space="preserve">erc dec 01</t>
  </si>
  <si>
    <t xml:space="preserve">erc Wnt-02</t>
  </si>
  <si>
    <t xml:space="preserve">erc March/Apr 02</t>
  </si>
  <si>
    <t xml:space="preserve">erc May 02</t>
  </si>
  <si>
    <t xml:space="preserve">erc June 02</t>
  </si>
  <si>
    <t xml:space="preserve">erc Smr-02</t>
  </si>
  <si>
    <t xml:space="preserve">erc Sep 02</t>
  </si>
  <si>
    <t xml:space="preserve">erc q4 02</t>
  </si>
  <si>
    <t xml:space="preserve">erc Cal-02</t>
  </si>
  <si>
    <t xml:space="preserve">erc Cal-03</t>
  </si>
  <si>
    <t xml:space="preserve">erc Cal-04</t>
  </si>
  <si>
    <t xml:space="preserve">erc Cal-05</t>
  </si>
  <si>
    <t xml:space="preserve">erc Wnt-03</t>
  </si>
  <si>
    <t xml:space="preserve">erc March/Apr 03</t>
  </si>
  <si>
    <t xml:space="preserve">erc May 03</t>
  </si>
  <si>
    <t xml:space="preserve">erc June 03</t>
  </si>
  <si>
    <t xml:space="preserve">erc Smr-03</t>
  </si>
  <si>
    <t xml:space="preserve">erc Sep 03</t>
  </si>
  <si>
    <t xml:space="preserve">erc q4 03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</si>
</sst>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.00_);_(* \(#,##0.00\);_(* \-??_);_(@_)"/>
    <numFmt numFmtId="166" formatCode="_(* #,##0_);_(* \(#,##0\);_(* \-_);_(@_)"/>
    <numFmt numFmtId="167" formatCode="[$-409]d\-mmm"/>
    <numFmt numFmtId="168" formatCode="0.00"/>
    <numFmt numFmtId="169" formatCode="0.000"/>
    <numFmt numFmtId="170" formatCode="_(\$* #,##0.00_);_(\$* \(#,##0.00\);_(\$* \-??_);_(@_)"/>
    <numFmt numFmtId="171" formatCode="_(* #,##0_);_(* \(#,##0\);_(* \-??_);_(@_)"/>
    <numFmt numFmtId="172" formatCode="0.0000"/>
    <numFmt numFmtId="173" formatCode="_(* #,##0.000_);_(* \(#,##0.000\);_(* \-??_);_(@_)"/>
    <numFmt numFmtId="174" formatCode="0"/>
    <numFmt numFmtId="175" formatCode="_(\$* #,##0_);_(\$* \(#,##0\);_(\$* \-??_);_(@_)"/>
    <numFmt numFmtId="176" formatCode="0%"/>
    <numFmt numFmtId="177" formatCode="[$-409]m/d/yyyy"/>
    <numFmt numFmtId="178" formatCode="\$#,##0.00_);&quot;($&quot;#,##0.00\)"/>
    <numFmt numFmtId="179" formatCode="[$-409]mmm\-yy"/>
    <numFmt numFmtId="180" formatCode="_(* #,##0.0000_);_(* \(#,##0.0000\);_(* \-_);_(@_)"/>
    <numFmt numFmtId="181" formatCode="_(\$* #,##0.000_);_(\$* \(#,##0.000\);_(\$* \-??_);_(@_)"/>
    <numFmt numFmtId="182" formatCode="_(\$* #,##0.0000_);_(\$* \(#,##0.0000\);_(\$* \-??_);_(@_)"/>
    <numFmt numFmtId="183" formatCode="_(* #,##0.0000_);_(* \(#,##0.0000\);_(* \-??_);_(@_)"/>
    <numFmt numFmtId="184" formatCode="m/d/yy"/>
    <numFmt numFmtId="185" formatCode="m/d/yy\ h:mm\ AM/PM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</font>
    <font>
      <b val="true"/>
      <sz val="7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color rgb="FF339966"/>
      <name val="Arial"/>
      <family val="2"/>
    </font>
    <font>
      <b val="true"/>
      <sz val="8"/>
      <color rgb="FFFF0000"/>
      <name val="Arial"/>
      <family val="2"/>
    </font>
    <font>
      <b val="true"/>
      <sz val="7"/>
      <color rgb="FF0000FF"/>
      <name val="Arial"/>
      <family val="2"/>
    </font>
    <font>
      <b val="true"/>
      <sz val="8"/>
      <color rgb="FF008000"/>
      <name val="Arial"/>
      <family val="2"/>
    </font>
    <font>
      <b val="true"/>
      <sz val="7"/>
      <color rgb="FFCCFFCC"/>
      <name val="Arial"/>
      <family val="2"/>
    </font>
    <font>
      <sz val="7"/>
      <color rgb="FF0000FF"/>
      <name val="Arial"/>
      <family val="2"/>
    </font>
    <font>
      <b val="true"/>
      <sz val="7"/>
      <color rgb="FFCCFF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color rgb="FF3366FF"/>
      <name val="Arial"/>
      <family val="2"/>
    </font>
    <font>
      <b val="true"/>
      <sz val="7"/>
      <color rgb="FFFFFFFF"/>
      <name val="Arial"/>
      <family val="2"/>
    </font>
    <font>
      <b val="true"/>
      <sz val="7"/>
      <color rgb="FF000000"/>
      <name val="Arial"/>
      <family val="2"/>
    </font>
    <font>
      <b val="true"/>
      <sz val="8"/>
      <color rgb="FFFFFFFF"/>
      <name val="Arial"/>
      <family val="2"/>
    </font>
    <font>
      <sz val="7"/>
      <color rgb="FFFFFFFF"/>
      <name val="Arial"/>
      <family val="2"/>
    </font>
    <font>
      <b val="true"/>
      <sz val="7"/>
      <color rgb="FF008000"/>
      <name val="Arial"/>
      <family val="2"/>
    </font>
    <font>
      <b val="true"/>
      <sz val="7"/>
      <color rgb="FFFF6600"/>
      <name val="Arial"/>
      <family val="2"/>
    </font>
    <font>
      <b val="true"/>
      <sz val="7"/>
      <color rgb="FFFFFF00"/>
      <name val="Arial"/>
      <family val="2"/>
    </font>
    <font>
      <b val="true"/>
      <sz val="7"/>
      <color rgb="FFFF0000"/>
      <name val="Arial"/>
      <family val="2"/>
    </font>
    <font>
      <sz val="7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0000FF"/>
        <bgColor rgb="FF0000FF"/>
      </patternFill>
    </fill>
    <fill>
      <patternFill patternType="solid">
        <fgColor rgb="FF00FFFF"/>
        <bgColor rgb="FF00FFFF"/>
      </patternFill>
    </fill>
    <fill>
      <patternFill patternType="solid">
        <fgColor rgb="FF00800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000000"/>
        <bgColor rgb="FF003300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10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8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10" fillId="0" borderId="8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6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6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7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6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6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6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6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8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1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1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4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1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1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1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1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1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1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3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1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1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0" fillId="1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1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0" fillId="1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1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1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1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1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1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1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1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1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1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1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1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1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15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15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15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1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1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1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1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0" fillId="1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1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0" fillId="1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1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1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1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6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1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7" fillId="1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7" fillId="1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6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1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1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1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1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1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1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1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5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6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5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6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1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1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20" fillId="1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1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1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6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1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1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1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1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6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0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00FFFFFF"/>
      </font>
      <fill>
        <patternFill>
          <bgColor rgb="FFCC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curve/mw/tva4082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Curve/NEW_SYS/SE/SESUM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Electric/ST_SERC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"/>
      <sheetName val="Basis Change"/>
      <sheetName val="Top_BAD"/>
      <sheetName val="TVA"/>
      <sheetName val="TVAFinancial"/>
      <sheetName val="Tbasis"/>
      <sheetName val="Tregion"/>
      <sheetName val="Tfinancial"/>
      <sheetName val="Neat &amp; Cool Tab"/>
      <sheetName val="Cinergy Prices"/>
      <sheetName val="OtherPosn"/>
      <sheetName val="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radeSum"/>
      <sheetName val="NYMEX"/>
      <sheetName val="GencoPosn"/>
      <sheetName val="OthNewDeals"/>
      <sheetName val="NymexData"/>
      <sheetName val="Interest"/>
      <sheetName val="FuturesPosn"/>
      <sheetName val="Price Summary-Entergy"/>
      <sheetName val="Price Summary-TVA"/>
      <sheetName val="trading_days"/>
      <sheetName val="All Region Sum and Gas"/>
      <sheetName val="pwr and gas data"/>
      <sheetName val="Cd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Y12">
            <v>0.023906183208565</v>
          </cell>
        </row>
        <row r="13">
          <cell r="Y13">
            <v>0.023637804129399</v>
          </cell>
        </row>
        <row r="14">
          <cell r="Y14">
            <v>0.0234945892645841</v>
          </cell>
        </row>
        <row r="15">
          <cell r="Y15">
            <v>0.0235580956015449</v>
          </cell>
        </row>
        <row r="16">
          <cell r="Y16">
            <v>0.0236237188178374</v>
          </cell>
        </row>
        <row r="17">
          <cell r="Y17">
            <v>0.023786882732868</v>
          </cell>
        </row>
        <row r="18">
          <cell r="Y18">
            <v>0.0241167036546988</v>
          </cell>
        </row>
        <row r="19">
          <cell r="Y19">
            <v>0.0244465246133143</v>
          </cell>
        </row>
        <row r="20">
          <cell r="Y20">
            <v>0.0248424157935054</v>
          </cell>
        </row>
        <row r="21">
          <cell r="Y21">
            <v>0.0253604291089107</v>
          </cell>
        </row>
        <row r="22">
          <cell r="Y22">
            <v>0.0258617324037105</v>
          </cell>
        </row>
        <row r="23">
          <cell r="Y23">
            <v>0.0264341768598606</v>
          </cell>
        </row>
        <row r="24">
          <cell r="Y24">
            <v>0.0270727161807831</v>
          </cell>
        </row>
        <row r="25">
          <cell r="Y25">
            <v>0.02764946149221</v>
          </cell>
        </row>
        <row r="26">
          <cell r="Y26">
            <v>0.0282849875672793</v>
          </cell>
        </row>
        <row r="27">
          <cell r="Y27">
            <v>0.0288879255734806</v>
          </cell>
        </row>
        <row r="28">
          <cell r="Y28">
            <v>0.029510961642063</v>
          </cell>
        </row>
        <row r="29">
          <cell r="Y29">
            <v>0.0301135958069252</v>
          </cell>
        </row>
        <row r="30">
          <cell r="Y30">
            <v>0.0307358916824705</v>
          </cell>
        </row>
        <row r="31">
          <cell r="Y31">
            <v>0.0313581876885398</v>
          </cell>
        </row>
        <row r="32">
          <cell r="Y32">
            <v>0.0319515123756289</v>
          </cell>
        </row>
        <row r="33">
          <cell r="Y33">
            <v>0.0325534775320624</v>
          </cell>
        </row>
        <row r="34">
          <cell r="Y34">
            <v>0.0331360245738281</v>
          </cell>
        </row>
        <row r="35">
          <cell r="Y35">
            <v>0.033730973989627</v>
          </cell>
        </row>
        <row r="36">
          <cell r="Y36">
            <v>0.0343184398103125</v>
          </cell>
        </row>
        <row r="37">
          <cell r="Y37">
            <v>0.0348680047154315</v>
          </cell>
        </row>
        <row r="38">
          <cell r="Y38">
            <v>0.0354214535497652</v>
          </cell>
        </row>
        <row r="39">
          <cell r="Y39">
            <v>0.035921934747599</v>
          </cell>
        </row>
        <row r="40">
          <cell r="Y40">
            <v>0.036439098740495</v>
          </cell>
        </row>
        <row r="41">
          <cell r="Y41">
            <v>0.0369207815710348</v>
          </cell>
        </row>
        <row r="42">
          <cell r="Y42">
            <v>0.0373978947844531</v>
          </cell>
        </row>
        <row r="43">
          <cell r="Y43">
            <v>0.0378750080743457</v>
          </cell>
        </row>
        <row r="44">
          <cell r="Y44">
            <v>0.0383180499183116</v>
          </cell>
        </row>
        <row r="45">
          <cell r="Y45">
            <v>0.0387579045204118</v>
          </cell>
        </row>
        <row r="46">
          <cell r="Y46">
            <v>0.0391835703262236</v>
          </cell>
        </row>
        <row r="47">
          <cell r="Y47">
            <v>0.0396118624311277</v>
          </cell>
        </row>
        <row r="48">
          <cell r="Y48">
            <v>0.0400306324344943</v>
          </cell>
        </row>
        <row r="49">
          <cell r="Y49">
            <v>0.0404088763590766</v>
          </cell>
        </row>
        <row r="50">
          <cell r="Y50">
            <v>0.0408282686821555</v>
          </cell>
        </row>
        <row r="51">
          <cell r="Y51">
            <v>0.0412322726044354</v>
          </cell>
        </row>
        <row r="52">
          <cell r="Y52">
            <v>0.0416497433816208</v>
          </cell>
        </row>
        <row r="53">
          <cell r="Y53">
            <v>0.0420117390341965</v>
          </cell>
        </row>
        <row r="54">
          <cell r="Y54">
            <v>0.042345377834351</v>
          </cell>
        </row>
        <row r="55">
          <cell r="Y55">
            <v>0.0426790166718112</v>
          </cell>
        </row>
        <row r="56">
          <cell r="Y56">
            <v>0.042993975110468</v>
          </cell>
        </row>
        <row r="57">
          <cell r="Y57">
            <v>0.0433012652025302</v>
          </cell>
        </row>
        <row r="58">
          <cell r="Y58">
            <v>0.0435986427410948</v>
          </cell>
        </row>
        <row r="59">
          <cell r="Y59">
            <v>0.0438877944255367</v>
          </cell>
        </row>
        <row r="60">
          <cell r="Y60">
            <v>0.044143967098961</v>
          </cell>
        </row>
        <row r="61">
          <cell r="Y61">
            <v>0.0443753488873928</v>
          </cell>
        </row>
        <row r="62">
          <cell r="Y62">
            <v>0.0446315216026361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rm Sheet"/>
      <sheetName val="June01NT"/>
      <sheetName val="June01CIN"/>
      <sheetName val="June01TVA"/>
      <sheetName val="JUNE01NYMEX"/>
      <sheetName val="July01NT"/>
      <sheetName val="July01CIN"/>
      <sheetName val="Aug01NT"/>
      <sheetName val="Aug01CIN"/>
      <sheetName val="Sep01NT"/>
      <sheetName val="Sep01CIN"/>
      <sheetName val="Q401NT"/>
      <sheetName val="Q401CIN"/>
      <sheetName val="JANFEB02NT"/>
      <sheetName val="JANFEB02CIN"/>
      <sheetName val="MARAP02NT"/>
      <sheetName val="MARAP02CIN"/>
      <sheetName val="MAY02NT"/>
      <sheetName val="MAY02CIN"/>
      <sheetName val="June02NT"/>
      <sheetName val="June02CIN"/>
      <sheetName val="JULAUG02NT"/>
      <sheetName val="JULAUG02CIN"/>
      <sheetName val="SEP02NT"/>
      <sheetName val="SEP02CIN"/>
      <sheetName val="Q402NT"/>
      <sheetName val="Q402CIN"/>
      <sheetName val="Sheet14"/>
      <sheetName val="Sheet13"/>
      <sheetName val="Cash Entry"/>
      <sheetName val="EOL LINKS"/>
      <sheetName val="Cash"/>
    </sheetNames>
    <sheetDataSet>
      <sheetData sheetId="0">
        <row r="2">
          <cell r="A2">
            <v>37033</v>
          </cell>
        </row>
        <row r="10">
          <cell r="B10">
            <v>37165</v>
          </cell>
        </row>
        <row r="11">
          <cell r="B11">
            <v>37196</v>
          </cell>
        </row>
        <row r="12">
          <cell r="B12">
            <v>37226</v>
          </cell>
        </row>
        <row r="13">
          <cell r="B13">
            <v>37257</v>
          </cell>
        </row>
        <row r="14">
          <cell r="B14">
            <v>37288</v>
          </cell>
        </row>
        <row r="15">
          <cell r="B15">
            <v>37316</v>
          </cell>
        </row>
        <row r="16">
          <cell r="B16">
            <v>37347</v>
          </cell>
        </row>
        <row r="17">
          <cell r="B17">
            <v>37377</v>
          </cell>
        </row>
        <row r="18">
          <cell r="B18">
            <v>37408</v>
          </cell>
        </row>
        <row r="19">
          <cell r="B19">
            <v>37438</v>
          </cell>
        </row>
        <row r="20">
          <cell r="B20">
            <v>37469</v>
          </cell>
        </row>
        <row r="21">
          <cell r="B21">
            <v>37500</v>
          </cell>
        </row>
        <row r="22">
          <cell r="B22">
            <v>37530</v>
          </cell>
        </row>
        <row r="23">
          <cell r="B23">
            <v>37561</v>
          </cell>
        </row>
        <row r="24">
          <cell r="B24">
            <v>37591</v>
          </cell>
        </row>
        <row r="25">
          <cell r="B25">
            <v>37622</v>
          </cell>
        </row>
        <row r="26">
          <cell r="B26">
            <v>37653</v>
          </cell>
        </row>
        <row r="27">
          <cell r="B27">
            <v>37681</v>
          </cell>
        </row>
        <row r="28">
          <cell r="B28">
            <v>37712</v>
          </cell>
        </row>
        <row r="29">
          <cell r="B29">
            <v>37742</v>
          </cell>
        </row>
        <row r="30">
          <cell r="B30">
            <v>37773</v>
          </cell>
        </row>
        <row r="31">
          <cell r="B31">
            <v>37803</v>
          </cell>
        </row>
        <row r="32">
          <cell r="B32">
            <v>37834</v>
          </cell>
        </row>
        <row r="33">
          <cell r="B33">
            <v>37865</v>
          </cell>
        </row>
        <row r="34">
          <cell r="B34">
            <v>37895</v>
          </cell>
        </row>
        <row r="35">
          <cell r="B35">
            <v>37926</v>
          </cell>
        </row>
        <row r="36">
          <cell r="B36">
            <v>37956</v>
          </cell>
        </row>
        <row r="41">
          <cell r="B41">
            <v>38108</v>
          </cell>
        </row>
        <row r="42">
          <cell r="B42">
            <v>38139</v>
          </cell>
        </row>
        <row r="43">
          <cell r="B43">
            <v>38169</v>
          </cell>
        </row>
        <row r="44">
          <cell r="B44">
            <v>38200</v>
          </cell>
        </row>
        <row r="45">
          <cell r="B45">
            <v>38231</v>
          </cell>
        </row>
        <row r="46">
          <cell r="B46">
            <v>38261</v>
          </cell>
        </row>
        <row r="47">
          <cell r="B47">
            <v>38292</v>
          </cell>
        </row>
        <row r="48">
          <cell r="B48">
            <v>38322</v>
          </cell>
        </row>
        <row r="49">
          <cell r="B49">
            <v>38353</v>
          </cell>
        </row>
        <row r="50">
          <cell r="B50">
            <v>38384</v>
          </cell>
        </row>
        <row r="51">
          <cell r="B51">
            <v>38412</v>
          </cell>
        </row>
        <row r="52">
          <cell r="B52">
            <v>38443</v>
          </cell>
        </row>
        <row r="56">
          <cell r="B56">
            <v>38565</v>
          </cell>
        </row>
        <row r="57">
          <cell r="B57">
            <v>38596</v>
          </cell>
        </row>
        <row r="58">
          <cell r="B58">
            <v>38626</v>
          </cell>
        </row>
        <row r="59">
          <cell r="B59">
            <v>38657</v>
          </cell>
        </row>
        <row r="60">
          <cell r="B60">
            <v>38687</v>
          </cell>
        </row>
        <row r="61">
          <cell r="B61">
            <v>38718</v>
          </cell>
        </row>
        <row r="62">
          <cell r="B62">
            <v>38749</v>
          </cell>
        </row>
        <row r="63">
          <cell r="B63">
            <v>38777</v>
          </cell>
        </row>
        <row r="64">
          <cell r="B64">
            <v>38808</v>
          </cell>
        </row>
        <row r="65">
          <cell r="B65">
            <v>38838</v>
          </cell>
        </row>
        <row r="66">
          <cell r="B66">
            <v>38869</v>
          </cell>
        </row>
        <row r="67">
          <cell r="B67">
            <v>38899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1" width="10.71"/>
    <col collapsed="false" customWidth="false" hidden="false" outlineLevel="0" max="2" min="2" style="1" width="9.14"/>
    <col collapsed="false" customWidth="false" hidden="false" outlineLevel="0" max="7" min="3" style="2" width="9.14"/>
    <col collapsed="false" customWidth="true" hidden="false" outlineLevel="0" max="8" min="8" style="2" width="9.41"/>
    <col collapsed="false" customWidth="true" hidden="false" outlineLevel="0" max="9" min="9" style="1" width="8.7"/>
    <col collapsed="false" customWidth="true" hidden="false" outlineLevel="0" max="10" min="10" style="1" width="9.85"/>
    <col collapsed="false" customWidth="true" hidden="false" outlineLevel="0" max="11" min="11" style="1" width="8.85"/>
    <col collapsed="false" customWidth="true" hidden="false" outlineLevel="0" max="12" min="12" style="1" width="7.42"/>
    <col collapsed="false" customWidth="true" hidden="false" outlineLevel="0" max="13" min="13" style="1" width="10.41"/>
    <col collapsed="false" customWidth="true" hidden="false" outlineLevel="0" max="14" min="14" style="1" width="10.99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6" t="s">
        <v>10</v>
      </c>
      <c r="M1" s="7" t="s">
        <v>11</v>
      </c>
      <c r="N1" s="6" t="s">
        <v>12</v>
      </c>
    </row>
    <row r="2" customFormat="false" ht="11.25" hidden="false" customHeight="false" outlineLevel="0" collapsed="false">
      <c r="A2" s="8" t="s">
        <v>13</v>
      </c>
      <c r="B2" s="9" t="n">
        <f aca="false">+'EOL LINKS'!B18</f>
        <v>22.25</v>
      </c>
      <c r="C2" s="9" t="n">
        <f aca="false">+'EOL LINKS'!C18</f>
        <v>22.75</v>
      </c>
      <c r="D2" s="10" t="n">
        <f aca="false">C36</f>
        <v>2.681</v>
      </c>
      <c r="E2" s="11" t="n">
        <f aca="false">+F36</f>
        <v>-0.0185</v>
      </c>
      <c r="F2" s="12" t="n">
        <f aca="false">+D36</f>
        <v>2.66</v>
      </c>
      <c r="G2" s="11" t="n">
        <f aca="false">+E36</f>
        <v>2.665</v>
      </c>
      <c r="H2" s="13" t="n">
        <f aca="false">(B2/F2)</f>
        <v>8.36466165413534</v>
      </c>
      <c r="I2" s="14" t="n">
        <f aca="false">(C2/G2)</f>
        <v>8.53658536585366</v>
      </c>
      <c r="J2" s="15" t="n">
        <f aca="false">(H2+I2)/2</f>
        <v>8.4506235099945</v>
      </c>
      <c r="K2" s="16" t="n">
        <v>8.51</v>
      </c>
      <c r="L2" s="17" t="n">
        <f aca="false">+J2-K2</f>
        <v>-0.0593764900055014</v>
      </c>
      <c r="M2" s="18" t="n">
        <f aca="false">+'Prior Day Position'!K16</f>
        <v>22.5</v>
      </c>
      <c r="N2" s="19" t="n">
        <f aca="false">+'Prior Day Position'!L16</f>
        <v>0</v>
      </c>
    </row>
    <row r="3" customFormat="false" ht="12" hidden="false" customHeight="false" outlineLevel="0" collapsed="false">
      <c r="A3" s="20" t="s">
        <v>14</v>
      </c>
      <c r="B3" s="21" t="n">
        <f aca="false">+'EOL LINKS'!B19</f>
        <v>24.25</v>
      </c>
      <c r="C3" s="21" t="n">
        <f aca="false">+'EOL LINKS'!C19</f>
        <v>24.45</v>
      </c>
      <c r="D3" s="22" t="n">
        <f aca="false">C37</f>
        <v>2.935</v>
      </c>
      <c r="E3" s="23" t="n">
        <f aca="false">+F37</f>
        <v>-0.0387499999999998</v>
      </c>
      <c r="F3" s="24" t="n">
        <f aca="false">+D37</f>
        <v>2.89</v>
      </c>
      <c r="G3" s="23" t="n">
        <f aca="false">+E37</f>
        <v>2.9025</v>
      </c>
      <c r="H3" s="25" t="n">
        <f aca="false">(B3/F3)</f>
        <v>8.39100346020761</v>
      </c>
      <c r="I3" s="26" t="n">
        <f aca="false">(C3/G3)</f>
        <v>8.42377260981912</v>
      </c>
      <c r="J3" s="27" t="n">
        <f aca="false">(H3+I3)/2</f>
        <v>8.40738803501337</v>
      </c>
      <c r="K3" s="28" t="n">
        <v>8.36</v>
      </c>
      <c r="L3" s="29" t="n">
        <f aca="false">+J3-K3</f>
        <v>0.0473880350133662</v>
      </c>
      <c r="M3" s="30" t="n">
        <f aca="false">+'Prior Day Position'!K17</f>
        <v>24.35</v>
      </c>
      <c r="N3" s="31" t="n">
        <f aca="false">+'Prior Day Position'!L17</f>
        <v>-0.199999999999999</v>
      </c>
    </row>
    <row r="4" customFormat="false" ht="12" hidden="false" customHeight="false" outlineLevel="0" collapsed="false">
      <c r="A4" s="32"/>
      <c r="B4" s="33"/>
      <c r="C4" s="33"/>
      <c r="D4" s="34"/>
      <c r="E4" s="34"/>
      <c r="F4" s="34"/>
      <c r="G4" s="34"/>
      <c r="H4" s="35"/>
      <c r="I4" s="36"/>
      <c r="J4" s="37"/>
      <c r="K4" s="38"/>
      <c r="L4" s="39"/>
      <c r="M4" s="40"/>
      <c r="N4" s="41"/>
    </row>
    <row r="5" customFormat="false" ht="11.25" hidden="true" customHeight="false" outlineLevel="0" collapsed="false">
      <c r="A5" s="42" t="s">
        <v>15</v>
      </c>
      <c r="B5" s="43"/>
      <c r="C5" s="43"/>
      <c r="D5" s="44" t="n">
        <f aca="false">C39</f>
        <v>3.11</v>
      </c>
      <c r="E5" s="45" t="n">
        <f aca="false">+F52</f>
        <v>0</v>
      </c>
      <c r="F5" s="46" t="n">
        <f aca="false">(D5+E5)-0.005</f>
        <v>3.105</v>
      </c>
      <c r="G5" s="45" t="n">
        <f aca="false">(D5+E5)+0.005</f>
        <v>3.115</v>
      </c>
      <c r="H5" s="47" t="n">
        <f aca="false">(B5/F5)*1000</f>
        <v>0</v>
      </c>
      <c r="I5" s="48" t="n">
        <f aca="false">(C5/G5)*1000</f>
        <v>0</v>
      </c>
      <c r="J5" s="49" t="n">
        <f aca="false">(H5+I5)/2</f>
        <v>0</v>
      </c>
      <c r="K5" s="50"/>
      <c r="L5" s="51" t="n">
        <f aca="false">+J5-K5</f>
        <v>0</v>
      </c>
      <c r="M5" s="52"/>
      <c r="N5" s="53"/>
    </row>
    <row r="6" customFormat="false" ht="10.5" hidden="false" customHeight="true" outlineLevel="0" collapsed="false">
      <c r="A6" s="54" t="s">
        <v>16</v>
      </c>
      <c r="B6" s="55" t="n">
        <f aca="false">+'EOL LINKS'!B20</f>
        <v>25.65</v>
      </c>
      <c r="C6" s="55" t="n">
        <f aca="false">+'EOL LINKS'!C20</f>
        <v>25.95</v>
      </c>
      <c r="D6" s="56" t="n">
        <f aca="false">(C39+C40)/2</f>
        <v>3.1135</v>
      </c>
      <c r="E6" s="56" t="n">
        <f aca="false">+F39</f>
        <v>-0.0375000000000001</v>
      </c>
      <c r="F6" s="56" t="n">
        <f aca="false">(D6+E6)-0.005</f>
        <v>3.071</v>
      </c>
      <c r="G6" s="57" t="n">
        <f aca="false">(D6+E6)+0.005</f>
        <v>3.081</v>
      </c>
      <c r="H6" s="58" t="n">
        <f aca="false">(B6/F6)</f>
        <v>8.3523282318463</v>
      </c>
      <c r="I6" s="59" t="n">
        <f aca="false">(C6/G6)</f>
        <v>8.42259006815969</v>
      </c>
      <c r="J6" s="15" t="n">
        <f aca="false">(H6+I6)/2</f>
        <v>8.387459150003</v>
      </c>
      <c r="K6" s="50" t="n">
        <v>8.38</v>
      </c>
      <c r="L6" s="60" t="n">
        <f aca="false">+J6-K6</f>
        <v>0.00745915000299569</v>
      </c>
      <c r="M6" s="18" t="n">
        <f aca="false">+'Prior Day Position'!K20</f>
        <v>25.8</v>
      </c>
      <c r="N6" s="19" t="n">
        <f aca="false">+'Prior Day Position'!L20</f>
        <v>-0.350000000000001</v>
      </c>
      <c r="O6" s="61"/>
      <c r="Q6" s="62"/>
      <c r="R6" s="61"/>
      <c r="S6" s="63"/>
    </row>
    <row r="7" customFormat="false" ht="10.5" hidden="false" customHeight="true" outlineLevel="0" collapsed="false">
      <c r="A7" s="64" t="s">
        <v>17</v>
      </c>
      <c r="B7" s="55" t="n">
        <f aca="false">+'EOL LINKS'!B21</f>
        <v>25.05</v>
      </c>
      <c r="C7" s="55" t="n">
        <f aca="false">+'EOL LINKS'!C21</f>
        <v>25.55</v>
      </c>
      <c r="D7" s="56" t="n">
        <f aca="false">(C41+C42)/2</f>
        <v>3.028</v>
      </c>
      <c r="E7" s="56" t="n">
        <f aca="false">+$F$53</f>
        <v>-0.0294285714285714</v>
      </c>
      <c r="F7" s="56" t="n">
        <f aca="false">(D7+E7)-0.005</f>
        <v>2.99357142857143</v>
      </c>
      <c r="G7" s="57" t="n">
        <f aca="false">(D7+E7)+0.005</f>
        <v>3.00357142857143</v>
      </c>
      <c r="H7" s="65" t="n">
        <f aca="false">(B7/F7)</f>
        <v>8.36793128131711</v>
      </c>
      <c r="I7" s="66" t="n">
        <f aca="false">(C7/G7)</f>
        <v>8.50653983353151</v>
      </c>
      <c r="J7" s="49" t="n">
        <f aca="false">(H7+I7)/2</f>
        <v>8.43723555742431</v>
      </c>
      <c r="K7" s="50" t="n">
        <v>8.42</v>
      </c>
      <c r="L7" s="60" t="n">
        <f aca="false">+J7-K7</f>
        <v>0.0172355574243088</v>
      </c>
      <c r="M7" s="67" t="n">
        <f aca="false">+'Prior Day Position'!K22</f>
        <v>25.3</v>
      </c>
      <c r="N7" s="68" t="n">
        <f aca="false">+'Prior Day Position'!L22</f>
        <v>-0.199999999999999</v>
      </c>
      <c r="O7" s="62"/>
      <c r="Q7" s="62"/>
      <c r="R7" s="62"/>
      <c r="S7" s="63"/>
    </row>
    <row r="8" customFormat="false" ht="10.5" hidden="false" customHeight="true" outlineLevel="0" collapsed="false">
      <c r="A8" s="64" t="s">
        <v>18</v>
      </c>
      <c r="B8" s="55" t="n">
        <f aca="false">+'EOL LINKS'!B22</f>
        <v>27.3</v>
      </c>
      <c r="C8" s="55" t="n">
        <f aca="false">+'EOL LINKS'!C22</f>
        <v>27.8</v>
      </c>
      <c r="D8" s="56" t="n">
        <f aca="false">C43</f>
        <v>3.013</v>
      </c>
      <c r="E8" s="56" t="n">
        <f aca="false">+$F$53</f>
        <v>-0.0294285714285714</v>
      </c>
      <c r="F8" s="56" t="n">
        <f aca="false">(D8+E8)-0.005</f>
        <v>2.97857142857143</v>
      </c>
      <c r="G8" s="57" t="n">
        <f aca="false">(D8+E8)+0.005</f>
        <v>2.98857142857143</v>
      </c>
      <c r="H8" s="65" t="n">
        <f aca="false">(B8/F8)</f>
        <v>9.16546762589928</v>
      </c>
      <c r="I8" s="66" t="n">
        <f aca="false">(C8/G8)</f>
        <v>9.30210325047801</v>
      </c>
      <c r="J8" s="49" t="n">
        <f aca="false">(H8+I8)/2</f>
        <v>9.23378543818865</v>
      </c>
      <c r="K8" s="50" t="n">
        <v>9.21</v>
      </c>
      <c r="L8" s="60" t="n">
        <f aca="false">+J8-K8</f>
        <v>0.0237854381886464</v>
      </c>
      <c r="M8" s="67" t="n">
        <f aca="false">+'Prior Day Position'!K24</f>
        <v>27.55</v>
      </c>
      <c r="N8" s="68" t="n">
        <f aca="false">+'Prior Day Position'!L24</f>
        <v>-0.199999999999999</v>
      </c>
      <c r="O8" s="62"/>
      <c r="Q8" s="62"/>
      <c r="R8" s="62"/>
      <c r="S8" s="63"/>
    </row>
    <row r="9" customFormat="false" ht="10.5" hidden="false" customHeight="true" outlineLevel="0" collapsed="false">
      <c r="A9" s="64" t="s">
        <v>19</v>
      </c>
      <c r="B9" s="55" t="n">
        <f aca="false">+'EOL LINKS'!B23</f>
        <v>30.7</v>
      </c>
      <c r="C9" s="55" t="n">
        <f aca="false">+'EOL LINKS'!C23</f>
        <v>31.2</v>
      </c>
      <c r="D9" s="56" t="n">
        <f aca="false">C44</f>
        <v>3.063</v>
      </c>
      <c r="E9" s="56" t="n">
        <f aca="false">+$F$53</f>
        <v>-0.0294285714285714</v>
      </c>
      <c r="F9" s="56" t="n">
        <f aca="false">(D9+E9)-0.005</f>
        <v>3.02857142857143</v>
      </c>
      <c r="G9" s="57" t="n">
        <f aca="false">(D9+E9)+0.005</f>
        <v>3.03857142857143</v>
      </c>
      <c r="H9" s="65" t="n">
        <f aca="false">(B9/F9)</f>
        <v>10.1367924528302</v>
      </c>
      <c r="I9" s="66" t="n">
        <f aca="false">(C9/G9)</f>
        <v>10.2679830747532</v>
      </c>
      <c r="J9" s="49" t="n">
        <f aca="false">(H9+I9)/2</f>
        <v>10.2023877637917</v>
      </c>
      <c r="K9" s="50" t="n">
        <v>10.2</v>
      </c>
      <c r="L9" s="60" t="n">
        <f aca="false">+J9-K9</f>
        <v>0.00238776379168115</v>
      </c>
      <c r="M9" s="67" t="n">
        <f aca="false">+'Prior Day Position'!K25</f>
        <v>30.95</v>
      </c>
      <c r="N9" s="68" t="n">
        <f aca="false">+'Prior Day Position'!L25</f>
        <v>-0.199999999999999</v>
      </c>
      <c r="O9" s="62"/>
      <c r="Q9" s="62"/>
      <c r="R9" s="62"/>
      <c r="S9" s="63"/>
    </row>
    <row r="10" customFormat="false" ht="10.5" hidden="false" customHeight="true" outlineLevel="0" collapsed="false">
      <c r="A10" s="64" t="s">
        <v>20</v>
      </c>
      <c r="B10" s="55" t="n">
        <f aca="false">+'EOL LINKS'!B24</f>
        <v>39.45</v>
      </c>
      <c r="C10" s="55" t="n">
        <f aca="false">+'EOL LINKS'!C24</f>
        <v>39.95</v>
      </c>
      <c r="D10" s="56" t="n">
        <f aca="false">(C45+C46)/2</f>
        <v>3.124</v>
      </c>
      <c r="E10" s="56" t="n">
        <f aca="false">+$F$53</f>
        <v>-0.0294285714285714</v>
      </c>
      <c r="F10" s="56" t="n">
        <f aca="false">(D10+E10)-0.005</f>
        <v>3.08957142857143</v>
      </c>
      <c r="G10" s="57" t="n">
        <f aca="false">(D10+E10)+0.005</f>
        <v>3.09957142857143</v>
      </c>
      <c r="H10" s="65" t="n">
        <f aca="false">(B10/F10)</f>
        <v>12.7687612706339</v>
      </c>
      <c r="I10" s="66" t="n">
        <f aca="false">(C10/G10)</f>
        <v>12.8888786468175</v>
      </c>
      <c r="J10" s="49" t="n">
        <f aca="false">(H10+I10)/2</f>
        <v>12.8288199587257</v>
      </c>
      <c r="K10" s="50" t="n">
        <v>12.8</v>
      </c>
      <c r="L10" s="60" t="n">
        <f aca="false">+J10-K10</f>
        <v>0.0288199587257303</v>
      </c>
      <c r="M10" s="67" t="n">
        <f aca="false">+'Prior Day Position'!K26</f>
        <v>39.7</v>
      </c>
      <c r="N10" s="68" t="n">
        <f aca="false">+'Prior Day Position'!L26</f>
        <v>-0.199999999999996</v>
      </c>
      <c r="O10" s="62"/>
      <c r="Q10" s="62"/>
      <c r="R10" s="62"/>
      <c r="S10" s="63"/>
    </row>
    <row r="11" customFormat="false" ht="10.5" hidden="false" customHeight="true" outlineLevel="0" collapsed="false">
      <c r="A11" s="64" t="s">
        <v>21</v>
      </c>
      <c r="B11" s="55" t="n">
        <f aca="false">+'EOL LINKS'!B25</f>
        <v>27.85</v>
      </c>
      <c r="C11" s="55" t="n">
        <f aca="false">+'EOL LINKS'!C25</f>
        <v>28.35</v>
      </c>
      <c r="D11" s="56" t="n">
        <f aca="false">C47</f>
        <v>3.145</v>
      </c>
      <c r="E11" s="56" t="n">
        <f aca="false">+$F$53</f>
        <v>-0.0294285714285714</v>
      </c>
      <c r="F11" s="56" t="n">
        <f aca="false">(D11+E11)-0.005</f>
        <v>3.11057142857143</v>
      </c>
      <c r="G11" s="57" t="n">
        <f aca="false">(D11+E11)+0.005</f>
        <v>3.12057142857143</v>
      </c>
      <c r="H11" s="65" t="n">
        <f aca="false">(B11/F11)</f>
        <v>8.95333884449343</v>
      </c>
      <c r="I11" s="66" t="n">
        <f aca="false">(C11/G11)</f>
        <v>9.08487456509797</v>
      </c>
      <c r="J11" s="49" t="n">
        <f aca="false">(H11+I11)/2</f>
        <v>9.0191067047957</v>
      </c>
      <c r="K11" s="50" t="n">
        <v>9.03</v>
      </c>
      <c r="L11" s="60" t="n">
        <f aca="false">+J11-K11</f>
        <v>-0.0108932952042995</v>
      </c>
      <c r="M11" s="67" t="n">
        <f aca="false">+'Prior Day Position'!K28</f>
        <v>28.1</v>
      </c>
      <c r="N11" s="68" t="n">
        <f aca="false">+'Prior Day Position'!L28</f>
        <v>-0.199999999999999</v>
      </c>
      <c r="O11" s="62"/>
      <c r="Q11" s="62"/>
      <c r="R11" s="62"/>
      <c r="S11" s="1" t="s">
        <v>22</v>
      </c>
    </row>
    <row r="12" customFormat="false" ht="10.5" hidden="false" customHeight="true" outlineLevel="0" collapsed="false">
      <c r="A12" s="64" t="s">
        <v>23</v>
      </c>
      <c r="B12" s="69" t="n">
        <f aca="false">+'EOL LINKS'!B26</f>
        <v>26.95</v>
      </c>
      <c r="C12" s="69" t="n">
        <f aca="false">+'EOL LINKS'!C26</f>
        <v>27.3</v>
      </c>
      <c r="D12" s="70" t="n">
        <f aca="false">(C48+C49+C50)/3</f>
        <v>3.36833333333333</v>
      </c>
      <c r="E12" s="70" t="n">
        <f aca="false">+F54</f>
        <v>-0.0297499999999999</v>
      </c>
      <c r="F12" s="70" t="n">
        <f aca="false">(D12+E12)-0.005</f>
        <v>3.33358333333333</v>
      </c>
      <c r="G12" s="71" t="n">
        <f aca="false">(D12+E12)+0.005</f>
        <v>3.34358333333333</v>
      </c>
      <c r="H12" s="72" t="n">
        <f aca="false">(B12/F12)</f>
        <v>8.08439367047471</v>
      </c>
      <c r="I12" s="73" t="n">
        <f aca="false">(C12/G12)</f>
        <v>8.16489295416594</v>
      </c>
      <c r="J12" s="27" t="n">
        <f aca="false">(H12+I12)/2</f>
        <v>8.12464331232033</v>
      </c>
      <c r="K12" s="50" t="n">
        <v>8.17</v>
      </c>
      <c r="L12" s="60" t="n">
        <f aca="false">+J12-K12</f>
        <v>-0.0453566876796732</v>
      </c>
      <c r="M12" s="67" t="n">
        <f aca="false">+'Prior Day Position'!K30</f>
        <v>27.125</v>
      </c>
      <c r="N12" s="68" t="n">
        <f aca="false">+'Prior Day Position'!L30</f>
        <v>-0.125</v>
      </c>
      <c r="O12" s="62"/>
      <c r="Q12" s="62"/>
      <c r="R12" s="62"/>
      <c r="S12" s="74" t="n">
        <v>22</v>
      </c>
    </row>
    <row r="13" customFormat="false" ht="13.5" hidden="false" customHeight="false" outlineLevel="0" collapsed="false">
      <c r="A13" s="75" t="s">
        <v>24</v>
      </c>
      <c r="B13" s="76" t="n">
        <f aca="false">((B6*22+B6*20+B7*21+B7*22+B8*22+B9*20+B10*22+B10*22+B11*20+B12*23+B12*20+B12*21)/255)</f>
        <v>28.9672549019608</v>
      </c>
      <c r="C13" s="76" t="n">
        <f aca="false">((C6*22+C6*20+C7*21+C7*22+C8*22+C9*20+C10*22+C10*22+C11*20+C12*23+C12*20+C12*21)/255)</f>
        <v>29.3966666666667</v>
      </c>
      <c r="D13" s="77" t="n">
        <f aca="false">+D14</f>
        <v>3.15475</v>
      </c>
      <c r="E13" s="78" t="n">
        <f aca="false">+F54</f>
        <v>-0.0297499999999999</v>
      </c>
      <c r="F13" s="77" t="n">
        <f aca="false">((F6*31+F6*28+F7*31+F7*30+F8*31+F9*30+F10*31+F10*31+F11*30+F12*31+F12*30+F12*31)/365)</f>
        <v>3.11931493803001</v>
      </c>
      <c r="G13" s="77" t="n">
        <f aca="false">((G6*31+G6*28+G7*31+G7*30+G8*31+G9*30+G10*31+G10*31+G11*30+G12*31+G12*30+G12*31)/365)</f>
        <v>3.12931493803001</v>
      </c>
      <c r="H13" s="79" t="n">
        <f aca="false">((H6*22+H6*20+H7*21+H7*22+H8*22+H9*20+H10*22+H10*22+H11*20+H12*23+H12*20+H12*21)/255)</f>
        <v>9.30701347203416</v>
      </c>
      <c r="I13" s="80" t="n">
        <f aca="false">((I6*22+I6*20+I7*21+I7*22+I8*22+I9*20+I10*22+I10*22+I11*20+I12*23+I12*20+I12*21)/255)</f>
        <v>9.41528325309291</v>
      </c>
      <c r="J13" s="81" t="n">
        <f aca="false">((J6*22+J6*20+J7*21+J7*22+J8*22+J9*20+J10*22+J10*22+J11*20+J12*23+J12*20+J12*21)/255)</f>
        <v>9.36114836256354</v>
      </c>
      <c r="K13" s="82" t="n">
        <v>9.345</v>
      </c>
      <c r="L13" s="83" t="n">
        <f aca="false">+J13-K13</f>
        <v>0.0161483625635377</v>
      </c>
      <c r="M13" s="84" t="n">
        <f aca="false">+K15</f>
        <v>29.1819607843137</v>
      </c>
      <c r="N13" s="85" t="n">
        <f aca="false">+'Prior Day Position'!L32</f>
        <v>-0.205882352941181</v>
      </c>
      <c r="O13" s="62"/>
      <c r="Q13" s="62"/>
      <c r="R13" s="62"/>
      <c r="S13" s="74" t="n">
        <v>20</v>
      </c>
    </row>
    <row r="14" customFormat="false" ht="13.5" hidden="false" customHeight="false" outlineLevel="0" collapsed="false">
      <c r="A14" s="75" t="s">
        <v>25</v>
      </c>
      <c r="B14" s="76" t="n">
        <f aca="false">+'EOL LINKS'!B27</f>
        <v>28.95</v>
      </c>
      <c r="C14" s="76" t="n">
        <f aca="false">+'EOL LINKS'!C27</f>
        <v>29.45</v>
      </c>
      <c r="D14" s="77" t="n">
        <f aca="false">C54</f>
        <v>3.15475</v>
      </c>
      <c r="E14" s="86" t="n">
        <f aca="false">+F54</f>
        <v>-0.0297499999999999</v>
      </c>
      <c r="F14" s="77" t="n">
        <f aca="false">+D54</f>
        <v>3.12</v>
      </c>
      <c r="G14" s="77" t="n">
        <f aca="false">+E54</f>
        <v>3.13</v>
      </c>
      <c r="H14" s="87" t="n">
        <f aca="false">(B14/F14)</f>
        <v>9.27884615384615</v>
      </c>
      <c r="I14" s="88" t="n">
        <f aca="false">(C14/G14)</f>
        <v>9.40894568690096</v>
      </c>
      <c r="J14" s="89" t="n">
        <f aca="false">(H14+I14)/2</f>
        <v>9.34389592037356</v>
      </c>
      <c r="K14" s="90" t="s">
        <v>26</v>
      </c>
      <c r="L14" s="91" t="s">
        <v>27</v>
      </c>
      <c r="M14" s="67"/>
      <c r="N14" s="68"/>
      <c r="O14" s="62"/>
      <c r="Q14" s="62"/>
      <c r="R14" s="62"/>
      <c r="S14" s="74" t="n">
        <v>21</v>
      </c>
    </row>
    <row r="15" customFormat="false" ht="13.5" hidden="false" customHeight="false" outlineLevel="0" collapsed="false">
      <c r="A15" s="92" t="s">
        <v>28</v>
      </c>
      <c r="B15" s="93" t="str">
        <f aca="false">IF(B13&gt;C14,"YES","NO")</f>
        <v>NO</v>
      </c>
      <c r="C15" s="93" t="str">
        <f aca="false">IF(C13&lt;B14,"YES","NO")</f>
        <v>NO</v>
      </c>
      <c r="D15" s="1"/>
      <c r="E15" s="1"/>
      <c r="F15" s="1"/>
      <c r="G15" s="1"/>
      <c r="H15" s="1"/>
      <c r="K15" s="94" t="n">
        <f aca="false">+'Prior Day Position'!K32</f>
        <v>29.1819607843137</v>
      </c>
      <c r="L15" s="95" t="n">
        <f aca="false">+'Prior Day Position'!K33</f>
        <v>29.2</v>
      </c>
      <c r="M15" s="96"/>
      <c r="N15" s="97"/>
      <c r="O15" s="62"/>
      <c r="Q15" s="62"/>
      <c r="R15" s="62"/>
      <c r="S15" s="74" t="n">
        <v>22</v>
      </c>
    </row>
    <row r="16" customFormat="false" ht="13.5" hidden="false" customHeight="false" outlineLevel="0" collapsed="false">
      <c r="A16" s="98"/>
      <c r="B16" s="99"/>
      <c r="C16" s="99"/>
      <c r="D16" s="34"/>
      <c r="E16" s="34"/>
      <c r="F16" s="34"/>
      <c r="G16" s="34"/>
      <c r="H16" s="100"/>
      <c r="I16" s="101"/>
      <c r="J16" s="102"/>
      <c r="K16" s="103"/>
      <c r="L16" s="103"/>
      <c r="M16" s="40"/>
      <c r="N16" s="40"/>
      <c r="O16" s="62"/>
      <c r="Q16" s="62"/>
      <c r="R16" s="62"/>
      <c r="S16" s="74" t="n">
        <v>21</v>
      </c>
    </row>
    <row r="17" customFormat="false" ht="10.5" hidden="false" customHeight="true" outlineLevel="0" collapsed="false">
      <c r="A17" s="54" t="s">
        <v>29</v>
      </c>
      <c r="B17" s="55" t="n">
        <f aca="false">+'EOL LINKS'!B31</f>
        <v>29.85</v>
      </c>
      <c r="C17" s="55" t="n">
        <f aca="false">+'EOL LINKS'!C31</f>
        <v>30.35</v>
      </c>
      <c r="D17" s="56" t="n">
        <f aca="false">(H39+H40)/2</f>
        <v>3.654</v>
      </c>
      <c r="E17" s="56" t="n">
        <f aca="false">+$F$55</f>
        <v>-0.0265</v>
      </c>
      <c r="F17" s="56" t="n">
        <f aca="false">(D17+E17)-0.005</f>
        <v>3.6225</v>
      </c>
      <c r="G17" s="57" t="n">
        <f aca="false">(D17+E17)+0.005</f>
        <v>3.6325</v>
      </c>
      <c r="H17" s="58" t="n">
        <f aca="false">(B17/F17)</f>
        <v>8.24016563146998</v>
      </c>
      <c r="I17" s="59" t="n">
        <f aca="false">(C17/G17)</f>
        <v>8.35512732278045</v>
      </c>
      <c r="J17" s="15" t="n">
        <f aca="false">(H17+I17)/2</f>
        <v>8.29764647712522</v>
      </c>
      <c r="K17" s="104" t="n">
        <v>8.28</v>
      </c>
      <c r="L17" s="105" t="n">
        <f aca="false">+J17-K17</f>
        <v>0.0176464771252167</v>
      </c>
      <c r="M17" s="106" t="n">
        <f aca="false">+'Prior Day Position'!K35</f>
        <v>30.1</v>
      </c>
      <c r="N17" s="107" t="n">
        <f aca="false">+'Prior Day Position'!L35</f>
        <v>-0.199999999999999</v>
      </c>
      <c r="O17" s="108" t="n">
        <f aca="false">AVERAGE(B17:C17)</f>
        <v>30.1</v>
      </c>
      <c r="P17" s="1" t="n">
        <v>42</v>
      </c>
      <c r="Q17" s="1" t="n">
        <f aca="false">+O17*P17</f>
        <v>1264.2</v>
      </c>
      <c r="R17" s="62"/>
      <c r="S17" s="74" t="n">
        <v>21</v>
      </c>
    </row>
    <row r="18" customFormat="false" ht="10.5" hidden="false" customHeight="true" outlineLevel="0" collapsed="false">
      <c r="A18" s="64" t="s">
        <v>30</v>
      </c>
      <c r="B18" s="55" t="n">
        <f aca="false">+'EOL LINKS'!B32</f>
        <v>28.65</v>
      </c>
      <c r="C18" s="55" t="n">
        <f aca="false">+'EOL LINKS'!C32</f>
        <v>29.15</v>
      </c>
      <c r="D18" s="56" t="n">
        <f aca="false">(H41+H42)/2</f>
        <v>3.4555</v>
      </c>
      <c r="E18" s="56" t="n">
        <f aca="false">+$F$55</f>
        <v>-0.0265</v>
      </c>
      <c r="F18" s="56" t="n">
        <f aca="false">(D18+E18)-0.005</f>
        <v>3.424</v>
      </c>
      <c r="G18" s="57" t="n">
        <f aca="false">(D18+E18)+0.005</f>
        <v>3.434</v>
      </c>
      <c r="H18" s="65" t="n">
        <f aca="false">(B18/F18)</f>
        <v>8.36740654205607</v>
      </c>
      <c r="I18" s="66" t="n">
        <f aca="false">(C18/G18)</f>
        <v>8.48864298194525</v>
      </c>
      <c r="J18" s="49" t="n">
        <f aca="false">(H18+I18)/2</f>
        <v>8.42802476200066</v>
      </c>
      <c r="K18" s="109" t="n">
        <v>8.42</v>
      </c>
      <c r="L18" s="110" t="n">
        <f aca="false">+J18-K18</f>
        <v>0.00802476200066415</v>
      </c>
      <c r="M18" s="111" t="n">
        <f aca="false">+'Prior Day Position'!K37</f>
        <v>28.9</v>
      </c>
      <c r="N18" s="112" t="n">
        <f aca="false">+'Prior Day Position'!L37</f>
        <v>-0.200000000000003</v>
      </c>
      <c r="O18" s="108" t="n">
        <f aca="false">AVERAGE(B18:C18)</f>
        <v>28.9</v>
      </c>
      <c r="P18" s="1" t="n">
        <v>43</v>
      </c>
      <c r="Q18" s="1" t="n">
        <f aca="false">+O18*P18</f>
        <v>1242.7</v>
      </c>
      <c r="R18" s="113"/>
      <c r="S18" s="74" t="n">
        <v>22</v>
      </c>
    </row>
    <row r="19" customFormat="false" ht="10.5" hidden="false" customHeight="true" outlineLevel="0" collapsed="false">
      <c r="A19" s="64" t="s">
        <v>31</v>
      </c>
      <c r="B19" s="55" t="n">
        <f aca="false">+'EOL LINKS'!B33</f>
        <v>30.9</v>
      </c>
      <c r="C19" s="55" t="n">
        <f aca="false">+'EOL LINKS'!C33</f>
        <v>31.4</v>
      </c>
      <c r="D19" s="56" t="n">
        <f aca="false">+H43</f>
        <v>3.393</v>
      </c>
      <c r="E19" s="56" t="n">
        <f aca="false">+$F$55</f>
        <v>-0.0265</v>
      </c>
      <c r="F19" s="56" t="n">
        <f aca="false">(D19+E19)-0.005</f>
        <v>3.3615</v>
      </c>
      <c r="G19" s="57" t="n">
        <f aca="false">(D19+E19)+0.005</f>
        <v>3.3715</v>
      </c>
      <c r="H19" s="65" t="n">
        <f aca="false">(B19/F19)</f>
        <v>9.19232485497546</v>
      </c>
      <c r="I19" s="66" t="n">
        <f aca="false">(C19/G19)</f>
        <v>9.31336200504227</v>
      </c>
      <c r="J19" s="49" t="n">
        <f aca="false">(H19+I19)/2</f>
        <v>9.25284343000886</v>
      </c>
      <c r="K19" s="109" t="n">
        <v>9.27</v>
      </c>
      <c r="L19" s="110" t="n">
        <f aca="false">+J19-K19</f>
        <v>-0.0171565699911369</v>
      </c>
      <c r="M19" s="111" t="n">
        <f aca="false">+'Prior Day Position'!K39</f>
        <v>31.15</v>
      </c>
      <c r="N19" s="112" t="n">
        <f aca="false">+'Prior Day Position'!L39</f>
        <v>-0.200000000000003</v>
      </c>
      <c r="O19" s="108" t="n">
        <f aca="false">AVERAGE(B19:C19)</f>
        <v>31.15</v>
      </c>
      <c r="P19" s="1" t="n">
        <v>21</v>
      </c>
      <c r="Q19" s="1" t="n">
        <f aca="false">+O19*P19</f>
        <v>654.15</v>
      </c>
      <c r="R19" s="62"/>
      <c r="S19" s="74" t="n">
        <v>21</v>
      </c>
    </row>
    <row r="20" customFormat="false" ht="10.5" hidden="false" customHeight="true" outlineLevel="0" collapsed="false">
      <c r="A20" s="64" t="s">
        <v>32</v>
      </c>
      <c r="B20" s="55" t="n">
        <f aca="false">+'EOL LINKS'!B34</f>
        <v>34.6</v>
      </c>
      <c r="C20" s="55" t="n">
        <f aca="false">+'EOL LINKS'!C34</f>
        <v>35.1</v>
      </c>
      <c r="D20" s="56" t="n">
        <f aca="false">+H44</f>
        <v>3.415</v>
      </c>
      <c r="E20" s="56" t="n">
        <f aca="false">+$F$55</f>
        <v>-0.0265</v>
      </c>
      <c r="F20" s="56" t="n">
        <f aca="false">(D20+E20)-0.005</f>
        <v>3.3835</v>
      </c>
      <c r="G20" s="57" t="n">
        <f aca="false">(D20+E20)+0.005</f>
        <v>3.3935</v>
      </c>
      <c r="H20" s="65" t="n">
        <f aca="false">(B20/F20)</f>
        <v>10.2260972365893</v>
      </c>
      <c r="I20" s="66" t="n">
        <f aca="false">(C20/G20)</f>
        <v>10.3433033740975</v>
      </c>
      <c r="J20" s="49" t="n">
        <f aca="false">(H20+I20)/2</f>
        <v>10.2847003053434</v>
      </c>
      <c r="K20" s="109" t="n">
        <v>10.28</v>
      </c>
      <c r="L20" s="110" t="n">
        <f aca="false">+J20-K20</f>
        <v>0.00470030534343557</v>
      </c>
      <c r="M20" s="111" t="n">
        <f aca="false">+'Prior Day Position'!K40</f>
        <v>34.85</v>
      </c>
      <c r="N20" s="112" t="n">
        <f aca="false">+'Prior Day Position'!L40</f>
        <v>-0.199999999999996</v>
      </c>
      <c r="O20" s="108" t="n">
        <f aca="false">AVERAGE(B20:C20)</f>
        <v>34.85</v>
      </c>
      <c r="P20" s="1" t="n">
        <v>21</v>
      </c>
      <c r="Q20" s="1" t="n">
        <f aca="false">+O20*P20</f>
        <v>731.85</v>
      </c>
      <c r="R20" s="62"/>
      <c r="S20" s="74" t="n">
        <v>21</v>
      </c>
    </row>
    <row r="21" customFormat="false" ht="10.5" hidden="false" customHeight="true" outlineLevel="0" collapsed="false">
      <c r="A21" s="64" t="s">
        <v>33</v>
      </c>
      <c r="B21" s="55" t="n">
        <f aca="false">+'EOL LINKS'!B35</f>
        <v>43.3</v>
      </c>
      <c r="C21" s="55" t="n">
        <f aca="false">+'EOL LINKS'!C35</f>
        <v>43.8</v>
      </c>
      <c r="D21" s="56" t="n">
        <f aca="false">(H45+H46)/2</f>
        <v>3.456</v>
      </c>
      <c r="E21" s="56" t="n">
        <f aca="false">+$F$55</f>
        <v>-0.0265</v>
      </c>
      <c r="F21" s="56" t="n">
        <f aca="false">(D21+E21)-0.005</f>
        <v>3.4245</v>
      </c>
      <c r="G21" s="57" t="n">
        <f aca="false">(D21+E21)+0.005</f>
        <v>3.4345</v>
      </c>
      <c r="H21" s="65" t="n">
        <f aca="false">(B21/F21)</f>
        <v>12.6441816323551</v>
      </c>
      <c r="I21" s="66" t="n">
        <f aca="false">(C21/G21)</f>
        <v>12.7529480273693</v>
      </c>
      <c r="J21" s="49" t="n">
        <f aca="false">(H21+I21)/2</f>
        <v>12.6985648298622</v>
      </c>
      <c r="K21" s="109" t="n">
        <v>12.68</v>
      </c>
      <c r="L21" s="110" t="n">
        <f aca="false">+J21-K21</f>
        <v>0.0185648298622141</v>
      </c>
      <c r="M21" s="111" t="n">
        <f aca="false">+'Prior Day Position'!K41</f>
        <v>43.55</v>
      </c>
      <c r="N21" s="112" t="n">
        <f aca="false">+'Prior Day Position'!L41</f>
        <v>-0.200000000000003</v>
      </c>
      <c r="O21" s="108" t="n">
        <f aca="false">AVERAGE(B21:C21)</f>
        <v>43.55</v>
      </c>
      <c r="P21" s="1" t="n">
        <v>43</v>
      </c>
      <c r="Q21" s="1" t="n">
        <f aca="false">+O21*P21</f>
        <v>1872.65</v>
      </c>
      <c r="R21" s="62"/>
      <c r="S21" s="74" t="n">
        <v>23</v>
      </c>
    </row>
    <row r="22" customFormat="false" ht="10.5" hidden="false" customHeight="true" outlineLevel="0" collapsed="false">
      <c r="A22" s="64" t="s">
        <v>34</v>
      </c>
      <c r="B22" s="55" t="n">
        <f aca="false">+'EOL LINKS'!B36</f>
        <v>31</v>
      </c>
      <c r="C22" s="55" t="n">
        <f aca="false">+'EOL LINKS'!C36</f>
        <v>31.5</v>
      </c>
      <c r="D22" s="56" t="n">
        <f aca="false">+H47</f>
        <v>3.472</v>
      </c>
      <c r="E22" s="56" t="n">
        <f aca="false">+$F$55</f>
        <v>-0.0265</v>
      </c>
      <c r="F22" s="56" t="n">
        <f aca="false">(D22+E22)-0.005</f>
        <v>3.4405</v>
      </c>
      <c r="G22" s="57" t="n">
        <f aca="false">(D22+E22)+0.005</f>
        <v>3.4505</v>
      </c>
      <c r="H22" s="65" t="n">
        <f aca="false">(B22/F22)</f>
        <v>9.01031826769365</v>
      </c>
      <c r="I22" s="66" t="n">
        <f aca="false">(C22/G22)</f>
        <v>9.1291117229387</v>
      </c>
      <c r="J22" s="49" t="n">
        <f aca="false">(H22+I22)/2</f>
        <v>9.06971499531618</v>
      </c>
      <c r="K22" s="109" t="n">
        <v>9.11</v>
      </c>
      <c r="L22" s="110" t="n">
        <f aca="false">+J22-K22</f>
        <v>-0.0402850046838239</v>
      </c>
      <c r="M22" s="67" t="n">
        <f aca="false">+'Prior Day Position'!K43</f>
        <v>31.25</v>
      </c>
      <c r="N22" s="68" t="n">
        <f aca="false">+'Prior Day Position'!L43</f>
        <v>-0.199999999999999</v>
      </c>
      <c r="O22" s="108" t="n">
        <f aca="false">AVERAGE(B22:C22)</f>
        <v>31.25</v>
      </c>
      <c r="P22" s="1" t="n">
        <v>21</v>
      </c>
      <c r="Q22" s="1" t="n">
        <f aca="false">+O22*P22</f>
        <v>656.25</v>
      </c>
      <c r="S22" s="74" t="n">
        <v>19</v>
      </c>
    </row>
    <row r="23" customFormat="false" ht="10.5" hidden="false" customHeight="true" outlineLevel="0" collapsed="false">
      <c r="A23" s="64" t="s">
        <v>35</v>
      </c>
      <c r="B23" s="69" t="n">
        <f aca="false">+'EOL LINKS'!B37</f>
        <v>29.3</v>
      </c>
      <c r="C23" s="69" t="n">
        <f aca="false">+'EOL LINKS'!C37</f>
        <v>29.8</v>
      </c>
      <c r="D23" s="70" t="n">
        <f aca="false">SUM(H48:H50)/3</f>
        <v>3.64466666666667</v>
      </c>
      <c r="E23" s="70" t="n">
        <f aca="false">+$F$55</f>
        <v>-0.0265</v>
      </c>
      <c r="F23" s="70" t="n">
        <f aca="false">(D23+E23)-0.005</f>
        <v>3.61316666666667</v>
      </c>
      <c r="G23" s="71" t="n">
        <f aca="false">(D23+E23)+0.005</f>
        <v>3.62316666666667</v>
      </c>
      <c r="H23" s="72" t="n">
        <f aca="false">(B23/F23)</f>
        <v>8.10923013054108</v>
      </c>
      <c r="I23" s="66" t="n">
        <f aca="false">(C23/G23)</f>
        <v>8.22484934909609</v>
      </c>
      <c r="J23" s="49" t="n">
        <f aca="false">(H23+I23)/2</f>
        <v>8.16703973981858</v>
      </c>
      <c r="K23" s="114" t="n">
        <v>8.16</v>
      </c>
      <c r="L23" s="115" t="n">
        <f aca="false">+J23-K23</f>
        <v>0.00703973981858397</v>
      </c>
      <c r="M23" s="67" t="n">
        <f aca="false">+'Prior Day Position'!K45</f>
        <v>29.55</v>
      </c>
      <c r="N23" s="68" t="n">
        <f aca="false">+'Prior Day Position'!L45</f>
        <v>-0.0999999999999979</v>
      </c>
      <c r="O23" s="108" t="n">
        <f aca="false">AVERAGE(B23:C23)</f>
        <v>29.55</v>
      </c>
      <c r="P23" s="1" t="n">
        <v>64</v>
      </c>
      <c r="Q23" s="1" t="n">
        <f aca="false">+O23*P23</f>
        <v>1891.2</v>
      </c>
      <c r="S23" s="74" t="n">
        <v>22</v>
      </c>
    </row>
    <row r="24" customFormat="false" ht="12" hidden="false" customHeight="false" outlineLevel="0" collapsed="false">
      <c r="A24" s="116" t="s">
        <v>36</v>
      </c>
      <c r="B24" s="76" t="n">
        <f aca="false">((B17*22+B17*20+B18*21+B18*22+B19*21+B20*21+B21*22+B21*21+B22*21+B23*23+B23*19+B23*22)/255)</f>
        <v>32.35</v>
      </c>
      <c r="C24" s="76" t="n">
        <f aca="false">((C17*22+C17*20+C18*21+C18*22+C19*21+C20*21+C21*22+C21*21+C22*21+C23*23+C23*19+C23*22)/255)</f>
        <v>32.85</v>
      </c>
      <c r="D24" s="77" t="n">
        <f aca="false">+C55</f>
        <v>3.529</v>
      </c>
      <c r="E24" s="77" t="n">
        <f aca="false">+F55</f>
        <v>-0.0265</v>
      </c>
      <c r="F24" s="77" t="n">
        <f aca="false">+F25</f>
        <v>3.495</v>
      </c>
      <c r="G24" s="77" t="n">
        <f aca="false">+G25</f>
        <v>3.51</v>
      </c>
      <c r="H24" s="117" t="n">
        <f aca="false">((H17*22+H17*20+H18*21+H18*22+H19*21+H20*21+H21*22+H21*21+H22*21+H23*23+H23*19+H23*22)/255)</f>
        <v>9.27678244674696</v>
      </c>
      <c r="I24" s="118" t="n">
        <f aca="false">((I17*22+I17*20+I18*21+I18*22+I19*21+I20*21+I21*22+I21*21+I22*21+I23*23+I23*19+I23*22)/255)</f>
        <v>9.39292328801218</v>
      </c>
      <c r="J24" s="119" t="n">
        <f aca="false">((J17*22+J17*20+J18*21+J18*22+J19*22+J20*20+J21*22+J21*22+J22*20+J23*23+J23*20+J23*21)/255)</f>
        <v>9.34503715349412</v>
      </c>
      <c r="K24" s="120" t="n">
        <v>9.345</v>
      </c>
      <c r="L24" s="121" t="n">
        <f aca="false">+J24-K24</f>
        <v>3.71534941230323E-005</v>
      </c>
      <c r="M24" s="84" t="n">
        <f aca="false">+K26</f>
        <v>32.6</v>
      </c>
      <c r="N24" s="85" t="n">
        <f aca="false">+'Prior Day Position'!L47</f>
        <v>-0.174901960784304</v>
      </c>
      <c r="S24" s="1" t="n">
        <f aca="false">SUM(S12:S23)</f>
        <v>255</v>
      </c>
    </row>
    <row r="25" customFormat="false" ht="12" hidden="false" customHeight="false" outlineLevel="0" collapsed="false">
      <c r="A25" s="122" t="s">
        <v>37</v>
      </c>
      <c r="B25" s="123" t="n">
        <f aca="false">+'EOL LINKS'!B28</f>
        <v>32.25</v>
      </c>
      <c r="C25" s="123" t="n">
        <f aca="false">+'EOL LINKS'!C28</f>
        <v>33</v>
      </c>
      <c r="D25" s="124" t="n">
        <f aca="false">+C55</f>
        <v>3.529</v>
      </c>
      <c r="E25" s="124" t="n">
        <f aca="false">+F55</f>
        <v>-0.0265</v>
      </c>
      <c r="F25" s="124" t="n">
        <f aca="false">+D55</f>
        <v>3.495</v>
      </c>
      <c r="G25" s="124" t="n">
        <f aca="false">+E55</f>
        <v>3.51</v>
      </c>
      <c r="H25" s="125" t="n">
        <f aca="false">(B25/F25)</f>
        <v>9.2274678111588</v>
      </c>
      <c r="I25" s="88" t="n">
        <f aca="false">(C25/G25)</f>
        <v>9.4017094017094</v>
      </c>
      <c r="J25" s="126" t="n">
        <f aca="false">(H25+I25)/2</f>
        <v>9.3145886064341</v>
      </c>
      <c r="K25" s="127" t="s">
        <v>38</v>
      </c>
      <c r="L25" s="128" t="s">
        <v>27</v>
      </c>
      <c r="M25" s="52"/>
      <c r="N25" s="53"/>
      <c r="P25" s="1" t="n">
        <f aca="false">SUM(P17:P24)</f>
        <v>255</v>
      </c>
      <c r="Q25" s="1" t="n">
        <f aca="false">SUM(Q17:Q24)</f>
        <v>8313</v>
      </c>
    </row>
    <row r="26" customFormat="false" ht="12" hidden="false" customHeight="false" outlineLevel="0" collapsed="false">
      <c r="A26" s="64"/>
      <c r="B26" s="129"/>
      <c r="C26" s="129"/>
      <c r="D26" s="130"/>
      <c r="E26" s="130"/>
      <c r="F26" s="130"/>
      <c r="G26" s="130"/>
      <c r="H26" s="131"/>
      <c r="I26" s="132"/>
      <c r="J26" s="133"/>
      <c r="K26" s="134" t="n">
        <f aca="false">+Q25/P25</f>
        <v>32.6</v>
      </c>
      <c r="L26" s="135" t="n">
        <f aca="false">AVERAGE(B25:C25)</f>
        <v>32.625</v>
      </c>
      <c r="M26" s="30"/>
      <c r="N26" s="31"/>
    </row>
    <row r="27" customFormat="false" ht="10.5" hidden="false" customHeight="true" outlineLevel="0" collapsed="false">
      <c r="A27" s="64" t="s">
        <v>39</v>
      </c>
      <c r="B27" s="55" t="n">
        <f aca="false">+'EOL LINKS'!B29</f>
        <v>33.3</v>
      </c>
      <c r="C27" s="55" t="n">
        <f aca="false">+'EOL LINKS'!C29</f>
        <v>34.3</v>
      </c>
      <c r="D27" s="56" t="n">
        <f aca="false">+C56</f>
        <v>3.61</v>
      </c>
      <c r="E27" s="56" t="n">
        <f aca="false">+F56</f>
        <v>-0.0265</v>
      </c>
      <c r="F27" s="56" t="n">
        <f aca="false">+D56</f>
        <v>3.576</v>
      </c>
      <c r="G27" s="57" t="n">
        <f aca="false">+E56</f>
        <v>3.591</v>
      </c>
      <c r="H27" s="58" t="n">
        <f aca="false">(B27/F27)</f>
        <v>9.31208053691275</v>
      </c>
      <c r="I27" s="59" t="n">
        <f aca="false">(C27/G27)</f>
        <v>9.55165692007797</v>
      </c>
      <c r="J27" s="136" t="n">
        <f aca="false">(H27+I27)/2</f>
        <v>9.43186872849536</v>
      </c>
      <c r="K27" s="50" t="n">
        <v>9.45</v>
      </c>
      <c r="L27" s="60" t="n">
        <f aca="false">+J27-K27</f>
        <v>-0.0181312715046378</v>
      </c>
      <c r="M27" s="137" t="n">
        <f aca="false">+'Prior Day Position'!K50</f>
        <v>33.8</v>
      </c>
      <c r="N27" s="137" t="n">
        <f aca="false">+'Prior Day Position'!L50</f>
        <v>-0.200000000000003</v>
      </c>
    </row>
    <row r="28" customFormat="false" ht="10.5" hidden="false" customHeight="true" outlineLevel="0" collapsed="false">
      <c r="A28" s="138" t="s">
        <v>40</v>
      </c>
      <c r="B28" s="55" t="n">
        <f aca="false">+'EOL LINKS'!B30</f>
        <v>34.25</v>
      </c>
      <c r="C28" s="55" t="n">
        <f aca="false">+'EOL LINKS'!C30</f>
        <v>35.25</v>
      </c>
      <c r="D28" s="56" t="n">
        <f aca="false">+C57</f>
        <v>3.7</v>
      </c>
      <c r="E28" s="56" t="n">
        <f aca="false">+F57</f>
        <v>-0.0265</v>
      </c>
      <c r="F28" s="56" t="n">
        <f aca="false">+D57</f>
        <v>3.666</v>
      </c>
      <c r="G28" s="57" t="n">
        <f aca="false">+E57</f>
        <v>3.681</v>
      </c>
      <c r="H28" s="72" t="n">
        <f aca="false">(B28/F28)</f>
        <v>9.34260774686307</v>
      </c>
      <c r="I28" s="73" t="n">
        <f aca="false">(C28/G28)</f>
        <v>9.57620211898941</v>
      </c>
      <c r="J28" s="139" t="n">
        <f aca="false">(H28+I28)/2</f>
        <v>9.45940493292624</v>
      </c>
      <c r="K28" s="28" t="n">
        <v>9.45</v>
      </c>
      <c r="L28" s="140" t="n">
        <f aca="false">+J28-K28</f>
        <v>0.00940493292623579</v>
      </c>
      <c r="M28" s="141" t="n">
        <f aca="false">+'Prior Day Position'!K51</f>
        <v>34.75</v>
      </c>
      <c r="N28" s="31" t="n">
        <f aca="false">+'Prior Day Position'!L51</f>
        <v>-0.100000000000001</v>
      </c>
    </row>
    <row r="29" customFormat="false" ht="12" hidden="false" customHeight="false" outlineLevel="0" collapsed="false">
      <c r="A29" s="142"/>
      <c r="B29" s="142"/>
      <c r="C29" s="142"/>
      <c r="D29" s="142"/>
      <c r="E29" s="142"/>
      <c r="F29" s="142"/>
      <c r="G29" s="142"/>
      <c r="H29" s="143"/>
      <c r="I29" s="143"/>
      <c r="J29" s="142"/>
      <c r="K29" s="38"/>
      <c r="L29" s="144"/>
      <c r="M29" s="40"/>
      <c r="N29" s="41"/>
    </row>
    <row r="30" customFormat="false" ht="10.5" hidden="false" customHeight="true" outlineLevel="0" collapsed="false">
      <c r="A30" s="145" t="s">
        <v>41</v>
      </c>
      <c r="B30" s="146" t="n">
        <f aca="false">+'EOL LINKS'!B16</f>
        <v>19.1</v>
      </c>
      <c r="C30" s="146" t="n">
        <f aca="false">+'EOL LINKS'!C16</f>
        <v>19.8</v>
      </c>
      <c r="D30" s="147" t="n">
        <f aca="false">+D14</f>
        <v>3.15475</v>
      </c>
      <c r="E30" s="148" t="n">
        <f aca="false">+F54</f>
        <v>-0.0297499999999999</v>
      </c>
      <c r="F30" s="147" t="n">
        <f aca="false">+F14</f>
        <v>3.12</v>
      </c>
      <c r="G30" s="149" t="n">
        <f aca="false">+G14</f>
        <v>3.13</v>
      </c>
      <c r="H30" s="58" t="n">
        <f aca="false">(B30/F30)</f>
        <v>6.12179487179487</v>
      </c>
      <c r="I30" s="59" t="n">
        <f aca="false">(C30/G30)</f>
        <v>6.3258785942492</v>
      </c>
      <c r="J30" s="136" t="n">
        <f aca="false">(H30+I30)/2</f>
        <v>6.22383673302204</v>
      </c>
      <c r="K30" s="150" t="n">
        <v>6.3</v>
      </c>
      <c r="L30" s="60" t="n">
        <f aca="false">+J30-K30</f>
        <v>-0.0761632669779635</v>
      </c>
      <c r="M30" s="67" t="n">
        <f aca="false">+'Prior Day Position'!K52</f>
        <v>19.45</v>
      </c>
      <c r="N30" s="68" t="n">
        <f aca="false">+'Prior Day Position'!L52</f>
        <v>0</v>
      </c>
    </row>
    <row r="31" customFormat="false" ht="10.5" hidden="false" customHeight="true" outlineLevel="0" collapsed="false">
      <c r="A31" s="151" t="s">
        <v>42</v>
      </c>
      <c r="B31" s="152" t="n">
        <f aca="false">+'EOL LINKS'!B15</f>
        <v>21.55</v>
      </c>
      <c r="C31" s="152" t="n">
        <f aca="false">+'EOL LINKS'!C15</f>
        <v>22.55</v>
      </c>
      <c r="D31" s="153" t="n">
        <f aca="false">+D25</f>
        <v>3.529</v>
      </c>
      <c r="E31" s="154" t="n">
        <f aca="false">+F55</f>
        <v>-0.0265</v>
      </c>
      <c r="F31" s="153" t="n">
        <f aca="false">+F25</f>
        <v>3.495</v>
      </c>
      <c r="G31" s="155" t="n">
        <f aca="false">+G25</f>
        <v>3.51</v>
      </c>
      <c r="H31" s="65" t="n">
        <f aca="false">(B31/F31)</f>
        <v>6.16595135908441</v>
      </c>
      <c r="I31" s="66" t="n">
        <f aca="false">(C31/G31)</f>
        <v>6.42450142450143</v>
      </c>
      <c r="J31" s="156" t="n">
        <f aca="false">(H31+I31)/2</f>
        <v>6.29522639179292</v>
      </c>
      <c r="K31" s="150" t="n">
        <v>6.3</v>
      </c>
      <c r="L31" s="60" t="n">
        <f aca="false">+J31-K31</f>
        <v>-0.00477360820708395</v>
      </c>
      <c r="M31" s="67" t="n">
        <f aca="false">+'Prior Day Position'!K53</f>
        <v>22.05</v>
      </c>
      <c r="N31" s="68" t="n">
        <f aca="false">+'Prior Day Position'!L53</f>
        <v>-0.199999999999999</v>
      </c>
    </row>
    <row r="32" customFormat="false" ht="10.5" hidden="false" customHeight="true" outlineLevel="0" collapsed="false">
      <c r="A32" s="151" t="s">
        <v>43</v>
      </c>
      <c r="B32" s="152" t="n">
        <f aca="false">+'EOL LINKS'!B14</f>
        <v>22.05</v>
      </c>
      <c r="C32" s="152" t="n">
        <f aca="false">+'EOL LINKS'!C14</f>
        <v>23.05</v>
      </c>
      <c r="D32" s="153" t="n">
        <f aca="false">+D27</f>
        <v>3.61</v>
      </c>
      <c r="E32" s="154" t="n">
        <f aca="false">+F56</f>
        <v>-0.0265</v>
      </c>
      <c r="F32" s="153" t="n">
        <f aca="false">+F27</f>
        <v>3.576</v>
      </c>
      <c r="G32" s="155" t="n">
        <f aca="false">+G27</f>
        <v>3.591</v>
      </c>
      <c r="H32" s="65" t="n">
        <f aca="false">(B32/F32)</f>
        <v>6.16610738255034</v>
      </c>
      <c r="I32" s="66" t="n">
        <f aca="false">(C32/G32)</f>
        <v>6.41882483987747</v>
      </c>
      <c r="J32" s="156" t="n">
        <f aca="false">(H32+I32)/2</f>
        <v>6.2924661112139</v>
      </c>
      <c r="K32" s="150" t="n">
        <v>6.33</v>
      </c>
      <c r="L32" s="60" t="n">
        <f aca="false">+J32-K32</f>
        <v>-0.0375338887860961</v>
      </c>
      <c r="M32" s="52"/>
      <c r="N32" s="53"/>
    </row>
    <row r="33" customFormat="false" ht="10.5" hidden="false" customHeight="true" outlineLevel="0" collapsed="false">
      <c r="A33" s="157" t="s">
        <v>44</v>
      </c>
      <c r="B33" s="158" t="n">
        <f aca="false">+'EOL LINKS'!B13</f>
        <v>22.65</v>
      </c>
      <c r="C33" s="158" t="n">
        <f aca="false">+'EOL LINKS'!C13</f>
        <v>23.65</v>
      </c>
      <c r="D33" s="159" t="n">
        <f aca="false">+D28</f>
        <v>3.7</v>
      </c>
      <c r="E33" s="160" t="n">
        <f aca="false">+F57</f>
        <v>-0.0265</v>
      </c>
      <c r="F33" s="159" t="n">
        <f aca="false">+F28</f>
        <v>3.666</v>
      </c>
      <c r="G33" s="161" t="n">
        <f aca="false">+G28</f>
        <v>3.681</v>
      </c>
      <c r="H33" s="72" t="n">
        <f aca="false">(B33/F33)</f>
        <v>6.17839607201309</v>
      </c>
      <c r="I33" s="73" t="n">
        <f aca="false">(C33/G33)</f>
        <v>6.42488454224396</v>
      </c>
      <c r="J33" s="139" t="n">
        <f aca="false">(H33+I33)/2</f>
        <v>6.30164030712852</v>
      </c>
      <c r="K33" s="162" t="n">
        <v>6.33</v>
      </c>
      <c r="L33" s="29" t="n">
        <f aca="false">+J33-K33</f>
        <v>-0.0283596928714758</v>
      </c>
      <c r="M33" s="96"/>
      <c r="N33" s="97"/>
    </row>
    <row r="34" customFormat="false" ht="13.5" hidden="false" customHeight="false" outlineLevel="0" collapsed="false">
      <c r="A34" s="163"/>
      <c r="B34" s="164"/>
      <c r="C34" s="165"/>
      <c r="D34" s="166"/>
      <c r="E34" s="166"/>
      <c r="F34" s="166"/>
      <c r="G34" s="1"/>
      <c r="H34" s="166"/>
      <c r="I34" s="166"/>
      <c r="J34" s="167"/>
      <c r="K34" s="167"/>
      <c r="L34" s="0"/>
    </row>
    <row r="35" customFormat="false" ht="12" hidden="false" customHeight="true" outlineLevel="0" collapsed="false">
      <c r="A35" s="168"/>
      <c r="B35" s="164"/>
      <c r="C35" s="169" t="s">
        <v>45</v>
      </c>
      <c r="D35" s="169" t="s">
        <v>46</v>
      </c>
      <c r="E35" s="170" t="s">
        <v>47</v>
      </c>
      <c r="F35" s="169" t="s">
        <v>10</v>
      </c>
      <c r="G35" s="1"/>
      <c r="H35" s="166"/>
      <c r="L35" s="171" t="s">
        <v>48</v>
      </c>
      <c r="M35" s="172" t="n">
        <f aca="false">+'Prior Day Position'!P30</f>
        <v>478097.403853854</v>
      </c>
      <c r="N35" s="173"/>
    </row>
    <row r="36" customFormat="false" ht="12" hidden="false" customHeight="true" outlineLevel="0" collapsed="false">
      <c r="A36" s="168" t="s">
        <v>13</v>
      </c>
      <c r="B36" s="164"/>
      <c r="C36" s="174" t="n">
        <v>2.681</v>
      </c>
      <c r="D36" s="175" t="n">
        <f aca="false">+'EOL LINKS'!B3</f>
        <v>2.66</v>
      </c>
      <c r="E36" s="176" t="n">
        <f aca="false">+'EOL LINKS'!C3</f>
        <v>2.665</v>
      </c>
      <c r="F36" s="175" t="n">
        <f aca="false">-(C36-(($D36+E36)/2))</f>
        <v>-0.0185</v>
      </c>
      <c r="G36" s="1"/>
      <c r="I36" s="166"/>
      <c r="L36" s="177" t="s">
        <v>49</v>
      </c>
      <c r="M36" s="178" t="n">
        <f aca="false">+'Prior Day Position'!P31</f>
        <v>-683794.208648067</v>
      </c>
      <c r="N36" s="179"/>
    </row>
    <row r="37" customFormat="false" ht="12" hidden="false" customHeight="true" outlineLevel="0" collapsed="false">
      <c r="A37" s="168" t="s">
        <v>14</v>
      </c>
      <c r="B37" s="164"/>
      <c r="C37" s="180" t="n">
        <v>2.935</v>
      </c>
      <c r="D37" s="181" t="n">
        <f aca="false">+'EOL LINKS'!B4</f>
        <v>2.89</v>
      </c>
      <c r="E37" s="182" t="n">
        <f aca="false">+'EOL LINKS'!C4</f>
        <v>2.9025</v>
      </c>
      <c r="F37" s="181" t="n">
        <f aca="false">-(C37-(($D37+E37)/2))</f>
        <v>-0.0387499999999998</v>
      </c>
      <c r="G37" s="1"/>
      <c r="H37" s="166"/>
      <c r="L37" s="183" t="s">
        <v>50</v>
      </c>
      <c r="M37" s="184" t="n">
        <f aca="false">SUM(M35:M36)</f>
        <v>-205696.804794213</v>
      </c>
      <c r="N37" s="185"/>
    </row>
    <row r="38" customFormat="false" ht="12" hidden="false" customHeight="true" outlineLevel="0" collapsed="false">
      <c r="A38" s="168"/>
      <c r="B38" s="164"/>
      <c r="C38" s="186"/>
      <c r="D38" s="187"/>
      <c r="E38" s="166"/>
      <c r="F38" s="187"/>
      <c r="G38" s="1"/>
      <c r="H38" s="166"/>
      <c r="L38" s="0"/>
    </row>
    <row r="39" customFormat="false" ht="12" hidden="false" customHeight="true" outlineLevel="0" collapsed="false">
      <c r="A39" s="168" t="s">
        <v>15</v>
      </c>
      <c r="B39" s="164"/>
      <c r="C39" s="180" t="n">
        <v>3.11</v>
      </c>
      <c r="D39" s="181" t="n">
        <f aca="false">+'EOL LINKS'!B5</f>
        <v>3.065</v>
      </c>
      <c r="E39" s="182" t="n">
        <f aca="false">+'EOL LINKS'!C5</f>
        <v>3.08</v>
      </c>
      <c r="F39" s="181" t="n">
        <f aca="false">-(C39-(($D39+E39)/2))</f>
        <v>-0.0375000000000001</v>
      </c>
      <c r="G39" s="188" t="s">
        <v>51</v>
      </c>
      <c r="H39" s="165" t="n">
        <v>3.695</v>
      </c>
      <c r="I39" s="189" t="n">
        <f aca="false">DDE("REUTER","IDN","NGF3,PRIM ACT 1,1")</f>
        <v>3.695</v>
      </c>
      <c r="J39" s="190" t="n">
        <f aca="false">+I39-H39</f>
        <v>0</v>
      </c>
      <c r="L39" s="0"/>
    </row>
    <row r="40" customFormat="false" ht="12" hidden="false" customHeight="true" outlineLevel="0" collapsed="false">
      <c r="A40" s="168" t="s">
        <v>52</v>
      </c>
      <c r="B40" s="164"/>
      <c r="C40" s="174" t="n">
        <v>3.117</v>
      </c>
      <c r="D40" s="175"/>
      <c r="E40" s="176"/>
      <c r="F40" s="175"/>
      <c r="G40" s="188" t="s">
        <v>53</v>
      </c>
      <c r="H40" s="165" t="n">
        <v>3.613</v>
      </c>
      <c r="I40" s="191" t="n">
        <f aca="false">DDE("REUTER","IDN","NGG3,PRIM ACT 1,1")</f>
        <v>3.625</v>
      </c>
      <c r="J40" s="190" t="n">
        <f aca="false">+I40-H40</f>
        <v>0.012</v>
      </c>
      <c r="K40" s="167"/>
      <c r="L40" s="0"/>
    </row>
    <row r="41" customFormat="false" ht="12" hidden="false" customHeight="true" outlineLevel="0" collapsed="false">
      <c r="A41" s="168" t="s">
        <v>54</v>
      </c>
      <c r="B41" s="164"/>
      <c r="C41" s="180" t="n">
        <v>3.074</v>
      </c>
      <c r="D41" s="181"/>
      <c r="E41" s="182"/>
      <c r="F41" s="181"/>
      <c r="G41" s="188" t="s">
        <v>55</v>
      </c>
      <c r="H41" s="165" t="n">
        <v>3.518</v>
      </c>
      <c r="I41" s="191" t="n">
        <f aca="false">DDE("REUTER","IDN","NGH3,PRIM ACT 1,1")</f>
        <v>3.518</v>
      </c>
      <c r="J41" s="190" t="n">
        <f aca="false">+I41-H41</f>
        <v>0</v>
      </c>
      <c r="K41" s="167"/>
      <c r="L41" s="0"/>
    </row>
    <row r="42" customFormat="false" ht="12" hidden="false" customHeight="true" outlineLevel="0" collapsed="false">
      <c r="A42" s="168" t="s">
        <v>56</v>
      </c>
      <c r="B42" s="164"/>
      <c r="C42" s="174" t="n">
        <v>2.982</v>
      </c>
      <c r="D42" s="175"/>
      <c r="E42" s="176"/>
      <c r="F42" s="175"/>
      <c r="G42" s="188" t="s">
        <v>57</v>
      </c>
      <c r="H42" s="165" t="n">
        <v>3.393</v>
      </c>
      <c r="I42" s="191" t="n">
        <f aca="false">DDE("REUTER","IDN","NGJ3,PRIM ACT 1,1")</f>
        <v>3.393</v>
      </c>
      <c r="J42" s="190" t="n">
        <f aca="false">+I42-H42</f>
        <v>0</v>
      </c>
      <c r="L42" s="0"/>
    </row>
    <row r="43" customFormat="false" ht="12" hidden="false" customHeight="true" outlineLevel="0" collapsed="false">
      <c r="A43" s="168" t="s">
        <v>18</v>
      </c>
      <c r="B43" s="164"/>
      <c r="C43" s="180" t="n">
        <v>3.013</v>
      </c>
      <c r="D43" s="181"/>
      <c r="E43" s="182"/>
      <c r="F43" s="181"/>
      <c r="G43" s="188" t="s">
        <v>31</v>
      </c>
      <c r="H43" s="165" t="n">
        <v>3.393</v>
      </c>
      <c r="I43" s="191" t="n">
        <f aca="false">DDE("REUTER","IDN","NGK3,PRIM ACT 1,1")</f>
        <v>3.393</v>
      </c>
      <c r="J43" s="190" t="n">
        <f aca="false">+I43-H43</f>
        <v>0</v>
      </c>
      <c r="L43" s="0"/>
    </row>
    <row r="44" customFormat="false" ht="12" hidden="false" customHeight="true" outlineLevel="0" collapsed="false">
      <c r="A44" s="168" t="s">
        <v>19</v>
      </c>
      <c r="B44" s="164"/>
      <c r="C44" s="174" t="n">
        <v>3.063</v>
      </c>
      <c r="D44" s="175"/>
      <c r="E44" s="176"/>
      <c r="F44" s="175"/>
      <c r="G44" s="188" t="s">
        <v>32</v>
      </c>
      <c r="H44" s="165" t="n">
        <v>3.415</v>
      </c>
      <c r="I44" s="189" t="n">
        <f aca="false">DDE("REUTER","IDN","NGM3,PRIM ACT 1,1")</f>
        <v>3.415</v>
      </c>
      <c r="J44" s="190" t="n">
        <f aca="false">+I44-H44</f>
        <v>0</v>
      </c>
      <c r="L44" s="0"/>
    </row>
    <row r="45" customFormat="false" ht="12" hidden="false" customHeight="true" outlineLevel="0" collapsed="false">
      <c r="A45" s="168" t="s">
        <v>58</v>
      </c>
      <c r="B45" s="164"/>
      <c r="C45" s="180" t="n">
        <v>3.103</v>
      </c>
      <c r="D45" s="181"/>
      <c r="E45" s="182"/>
      <c r="F45" s="181"/>
      <c r="G45" s="188" t="s">
        <v>59</v>
      </c>
      <c r="H45" s="165" t="n">
        <v>3.44</v>
      </c>
      <c r="I45" s="189" t="n">
        <f aca="false">DDE("REUTER","IDN","NGN3,PRIM ACT 1,1")</f>
        <v>3.44</v>
      </c>
      <c r="J45" s="190" t="n">
        <f aca="false">+I45-H45</f>
        <v>0</v>
      </c>
      <c r="L45" s="0"/>
    </row>
    <row r="46" customFormat="false" ht="12" hidden="false" customHeight="true" outlineLevel="0" collapsed="false">
      <c r="A46" s="168" t="s">
        <v>60</v>
      </c>
      <c r="B46" s="164"/>
      <c r="C46" s="174" t="n">
        <v>3.145</v>
      </c>
      <c r="D46" s="175"/>
      <c r="E46" s="176"/>
      <c r="F46" s="175"/>
      <c r="G46" s="188" t="s">
        <v>61</v>
      </c>
      <c r="H46" s="165" t="n">
        <v>3.472</v>
      </c>
      <c r="I46" s="189" t="n">
        <f aca="false">DDE("REUTER","IDN","NGQ3,PRIM ACT 1,1")</f>
        <v>3.472</v>
      </c>
      <c r="J46" s="190" t="n">
        <f aca="false">+I46-H46</f>
        <v>0</v>
      </c>
      <c r="L46" s="0"/>
    </row>
    <row r="47" customFormat="false" ht="12" hidden="false" customHeight="true" outlineLevel="0" collapsed="false">
      <c r="A47" s="168" t="s">
        <v>21</v>
      </c>
      <c r="B47" s="164"/>
      <c r="C47" s="180" t="n">
        <v>3.145</v>
      </c>
      <c r="D47" s="181"/>
      <c r="E47" s="182"/>
      <c r="F47" s="181"/>
      <c r="G47" s="188" t="s">
        <v>34</v>
      </c>
      <c r="H47" s="165" t="n">
        <v>3.472</v>
      </c>
      <c r="I47" s="189" t="n">
        <f aca="false">DDE("REUTER","IDN","NGU3,PRIM ACT 1,1")</f>
        <v>3.472</v>
      </c>
      <c r="J47" s="190" t="n">
        <f aca="false">+I47-H47</f>
        <v>0</v>
      </c>
      <c r="L47" s="0"/>
    </row>
    <row r="48" customFormat="false" ht="12" hidden="false" customHeight="true" outlineLevel="0" collapsed="false">
      <c r="A48" s="168" t="s">
        <v>62</v>
      </c>
      <c r="B48" s="164"/>
      <c r="C48" s="174" t="n">
        <v>3.175</v>
      </c>
      <c r="D48" s="175"/>
      <c r="E48" s="176"/>
      <c r="F48" s="175"/>
      <c r="G48" s="188" t="s">
        <v>63</v>
      </c>
      <c r="H48" s="165" t="n">
        <v>3.487</v>
      </c>
      <c r="I48" s="189" t="n">
        <f aca="false">DDE("REUTER","IDN","NGV3,PRIM ACT 1,1")</f>
        <v>3.487</v>
      </c>
      <c r="J48" s="190" t="n">
        <f aca="false">+I48-H48</f>
        <v>0</v>
      </c>
      <c r="L48" s="0"/>
    </row>
    <row r="49" customFormat="false" ht="12" hidden="false" customHeight="true" outlineLevel="0" collapsed="false">
      <c r="A49" s="168" t="s">
        <v>64</v>
      </c>
      <c r="B49" s="164"/>
      <c r="C49" s="180" t="n">
        <v>3.36</v>
      </c>
      <c r="D49" s="181"/>
      <c r="E49" s="182"/>
      <c r="F49" s="181"/>
      <c r="G49" s="188" t="s">
        <v>65</v>
      </c>
      <c r="H49" s="165" t="n">
        <v>3.65</v>
      </c>
      <c r="I49" s="189" t="n">
        <f aca="false">DDE("REUTER","IDN","NGX3,PRIM ACT 1,1")</f>
        <v>3.65</v>
      </c>
      <c r="J49" s="190" t="n">
        <f aca="false">+I49-H49</f>
        <v>0</v>
      </c>
      <c r="L49" s="0"/>
    </row>
    <row r="50" customFormat="false" ht="12" hidden="false" customHeight="true" outlineLevel="0" collapsed="false">
      <c r="A50" s="168" t="s">
        <v>66</v>
      </c>
      <c r="B50" s="164"/>
      <c r="C50" s="174" t="n">
        <v>3.57</v>
      </c>
      <c r="D50" s="175"/>
      <c r="E50" s="176"/>
      <c r="F50" s="192"/>
      <c r="G50" s="188" t="s">
        <v>67</v>
      </c>
      <c r="H50" s="193" t="n">
        <v>3.797</v>
      </c>
      <c r="I50" s="189" t="n">
        <f aca="false">DDE("REUTER","IDN","NGZ3,PRIM ACT 1,1")</f>
        <v>3.797</v>
      </c>
      <c r="J50" s="190" t="n">
        <f aca="false">+I50-H50</f>
        <v>0</v>
      </c>
      <c r="L50" s="0"/>
    </row>
    <row r="51" customFormat="false" ht="12" hidden="false" customHeight="true" outlineLevel="0" collapsed="false">
      <c r="A51" s="188" t="s">
        <v>68</v>
      </c>
      <c r="B51" s="194"/>
      <c r="C51" s="195" t="n">
        <f aca="false">SUM(C36+C37+C39+C40+C41)/5</f>
        <v>2.9834</v>
      </c>
      <c r="D51" s="196" t="n">
        <f aca="false">+'EOL LINKS'!B6</f>
        <v>2.945</v>
      </c>
      <c r="E51" s="197" t="n">
        <f aca="false">+'EOL LINKS'!C6</f>
        <v>2.955</v>
      </c>
      <c r="F51" s="196" t="n">
        <f aca="false">-($C$51-(($D$51+$E$51)/2))</f>
        <v>-0.0333999999999999</v>
      </c>
      <c r="G51" s="1"/>
      <c r="H51" s="167"/>
      <c r="L51" s="0"/>
    </row>
    <row r="52" customFormat="false" ht="12" hidden="false" customHeight="true" outlineLevel="0" collapsed="false">
      <c r="A52" s="198"/>
      <c r="B52" s="194"/>
      <c r="C52" s="195"/>
      <c r="D52" s="196"/>
      <c r="E52" s="196"/>
      <c r="F52" s="196"/>
      <c r="G52" s="1"/>
      <c r="H52" s="199" t="n">
        <f aca="false">AVERAGE(H39:H50)</f>
        <v>3.52875</v>
      </c>
      <c r="I52" s="199" t="n">
        <f aca="false">AVERAGE(I39:I50)</f>
        <v>3.52975</v>
      </c>
      <c r="L52" s="0"/>
    </row>
    <row r="53" customFormat="false" ht="12" hidden="false" customHeight="true" outlineLevel="0" collapsed="false">
      <c r="A53" s="188" t="s">
        <v>69</v>
      </c>
      <c r="B53" s="164"/>
      <c r="C53" s="200" t="n">
        <f aca="false">SUM(C42:C48)/7</f>
        <v>3.08942857142857</v>
      </c>
      <c r="D53" s="201" t="n">
        <f aca="false">+'EOL LINKS'!B7</f>
        <v>3.055</v>
      </c>
      <c r="E53" s="201" t="n">
        <f aca="false">+'EOL LINKS'!C7</f>
        <v>3.065</v>
      </c>
      <c r="F53" s="201" t="n">
        <f aca="false">-($C$53-(($D$53+$E$53)/2))</f>
        <v>-0.0294285714285714</v>
      </c>
      <c r="G53" s="1"/>
      <c r="H53" s="166"/>
      <c r="L53" s="0"/>
    </row>
    <row r="54" customFormat="false" ht="12" hidden="false" customHeight="true" outlineLevel="0" collapsed="false">
      <c r="A54" s="188" t="s">
        <v>25</v>
      </c>
      <c r="B54" s="164"/>
      <c r="C54" s="202" t="n">
        <f aca="false">AVERAGE(C39:C50)</f>
        <v>3.15475</v>
      </c>
      <c r="D54" s="203" t="n">
        <f aca="false">+'EOL LINKS'!B8</f>
        <v>3.12</v>
      </c>
      <c r="E54" s="204" t="n">
        <f aca="false">+'EOL LINKS'!C8</f>
        <v>3.13</v>
      </c>
      <c r="F54" s="203" t="n">
        <f aca="false">-($C$54-(($D$54+$E$54)/2))</f>
        <v>-0.0297499999999999</v>
      </c>
      <c r="G54" s="1"/>
      <c r="H54" s="166"/>
      <c r="L54" s="0"/>
    </row>
    <row r="55" customFormat="false" ht="12" hidden="false" customHeight="true" outlineLevel="0" collapsed="false">
      <c r="A55" s="188" t="s">
        <v>70</v>
      </c>
      <c r="B55" s="205" t="n">
        <f aca="false">+'EOL LINKS'!H9-'EOL LINKS'!H8</f>
        <v>0.3775</v>
      </c>
      <c r="C55" s="206" t="n">
        <v>3.529</v>
      </c>
      <c r="D55" s="203" t="n">
        <f aca="false">+'EOL LINKS'!B9</f>
        <v>3.495</v>
      </c>
      <c r="E55" s="207" t="n">
        <f aca="false">+'EOL LINKS'!C9</f>
        <v>3.51</v>
      </c>
      <c r="F55" s="203" t="n">
        <f aca="false">-($C$55-(($D$55+$E$55)/2))</f>
        <v>-0.0265</v>
      </c>
      <c r="G55" s="208"/>
      <c r="H55" s="208"/>
      <c r="L55" s="0"/>
    </row>
    <row r="56" customFormat="false" ht="12" hidden="false" customHeight="true" outlineLevel="0" collapsed="false">
      <c r="A56" s="209" t="s">
        <v>71</v>
      </c>
      <c r="B56" s="210" t="n">
        <f aca="false">+C56-C55</f>
        <v>0.081</v>
      </c>
      <c r="C56" s="211" t="n">
        <v>3.61</v>
      </c>
      <c r="D56" s="203" t="n">
        <f aca="false">+D55+B56</f>
        <v>3.576</v>
      </c>
      <c r="E56" s="212" t="n">
        <f aca="false">+E55+B56</f>
        <v>3.591</v>
      </c>
      <c r="F56" s="203" t="n">
        <f aca="false">-($C$56-(($D$56+$E$56)/2))</f>
        <v>-0.0265</v>
      </c>
      <c r="G56" s="208"/>
      <c r="H56" s="208"/>
      <c r="I56" s="208"/>
      <c r="J56" s="213"/>
      <c r="K56" s="213"/>
      <c r="L56" s="0"/>
    </row>
    <row r="57" customFormat="false" ht="12" hidden="false" customHeight="true" outlineLevel="0" collapsed="false">
      <c r="A57" s="209" t="s">
        <v>72</v>
      </c>
      <c r="B57" s="214" t="n">
        <f aca="false">+C57-C56</f>
        <v>0.0900000000000003</v>
      </c>
      <c r="C57" s="215" t="n">
        <v>3.7</v>
      </c>
      <c r="D57" s="216" t="n">
        <f aca="false">+D56+B57</f>
        <v>3.666</v>
      </c>
      <c r="E57" s="217" t="n">
        <f aca="false">+E56+B57</f>
        <v>3.681</v>
      </c>
      <c r="F57" s="203" t="n">
        <f aca="false">-($C$57-(($D$57+$E$57)/2))</f>
        <v>-0.0265</v>
      </c>
      <c r="G57" s="0"/>
      <c r="H57" s="0"/>
      <c r="I57" s="0"/>
      <c r="J57" s="218"/>
      <c r="K57" s="218"/>
      <c r="L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218"/>
      <c r="K58" s="218"/>
      <c r="L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218"/>
      <c r="K59" s="218"/>
      <c r="L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218"/>
      <c r="K60" s="218"/>
      <c r="L6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5" activeCellId="0" sqref="N35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1" width="1.28"/>
    <col collapsed="false" customWidth="true" hidden="false" outlineLevel="0" max="2" min="2" style="1" width="13.7"/>
    <col collapsed="false" customWidth="true" hidden="false" outlineLevel="0" max="3" min="3" style="2" width="4.14"/>
    <col collapsed="false" customWidth="true" hidden="false" outlineLevel="0" max="4" min="4" style="2" width="7.42"/>
    <col collapsed="false" customWidth="true" hidden="false" outlineLevel="0" max="5" min="5" style="2" width="8.41"/>
    <col collapsed="false" customWidth="true" hidden="false" outlineLevel="0" max="6" min="6" style="2" width="9.28"/>
    <col collapsed="false" customWidth="true" hidden="false" outlineLevel="0" max="7" min="7" style="2" width="5.13"/>
    <col collapsed="false" customWidth="true" hidden="false" outlineLevel="0" max="8" min="8" style="2" width="7.28"/>
    <col collapsed="false" customWidth="true" hidden="false" outlineLevel="0" max="9" min="9" style="1" width="3.85"/>
    <col collapsed="false" customWidth="true" hidden="false" outlineLevel="0" max="10" min="10" style="1" width="8.28"/>
    <col collapsed="false" customWidth="true" hidden="false" outlineLevel="0" max="11" min="11" style="1" width="3.99"/>
    <col collapsed="false" customWidth="true" hidden="false" outlineLevel="0" max="12" min="12" style="1" width="9.7"/>
    <col collapsed="false" customWidth="true" hidden="false" outlineLevel="0" max="13" min="13" style="1" width="8.28"/>
    <col collapsed="false" customWidth="true" hidden="false" outlineLevel="0" max="14" min="14" style="1" width="7.99"/>
    <col collapsed="false" customWidth="true" hidden="false" outlineLevel="0" max="15" min="15" style="1" width="8.7"/>
    <col collapsed="false" customWidth="true" hidden="false" outlineLevel="0" max="16" min="16" style="1" width="8.14"/>
    <col collapsed="false" customWidth="true" hidden="false" outlineLevel="0" max="17" min="17" style="1" width="7.56"/>
    <col collapsed="false" customWidth="true" hidden="false" outlineLevel="0" max="18" min="18" style="1" width="5.99"/>
    <col collapsed="false" customWidth="true" hidden="false" outlineLevel="0" max="19" min="19" style="1" width="7.85"/>
    <col collapsed="false" customWidth="false" hidden="false" outlineLevel="0" max="257" min="20" style="1" width="9.14"/>
  </cols>
  <sheetData>
    <row r="1" customFormat="false" ht="11.25" hidden="false" customHeight="false" outlineLevel="0" collapsed="false">
      <c r="B1" s="219" t="s">
        <v>73</v>
      </c>
      <c r="C1" s="220"/>
      <c r="D1" s="221" t="s">
        <v>74</v>
      </c>
      <c r="E1" s="221" t="s">
        <v>75</v>
      </c>
      <c r="F1" s="221" t="s">
        <v>75</v>
      </c>
      <c r="G1" s="1"/>
      <c r="H1" s="222" t="s">
        <v>76</v>
      </c>
      <c r="J1" s="223" t="s">
        <v>77</v>
      </c>
      <c r="K1" s="224"/>
      <c r="L1" s="225"/>
      <c r="M1" s="224" t="s">
        <v>78</v>
      </c>
      <c r="N1" s="226" t="s">
        <v>79</v>
      </c>
      <c r="O1" s="227"/>
      <c r="P1" s="227"/>
      <c r="Q1" s="227"/>
      <c r="R1" s="227"/>
      <c r="S1" s="228"/>
    </row>
    <row r="2" customFormat="false" ht="9.75" hidden="false" customHeight="false" outlineLevel="0" collapsed="false">
      <c r="B2" s="229"/>
      <c r="C2" s="230"/>
      <c r="D2" s="231" t="s">
        <v>80</v>
      </c>
      <c r="E2" s="231" t="s">
        <v>81</v>
      </c>
      <c r="F2" s="231" t="s">
        <v>82</v>
      </c>
      <c r="G2" s="1"/>
      <c r="H2" s="232" t="s">
        <v>83</v>
      </c>
      <c r="J2" s="233"/>
      <c r="K2" s="234"/>
      <c r="L2" s="235" t="s">
        <v>84</v>
      </c>
      <c r="M2" s="236" t="n">
        <v>0.75</v>
      </c>
      <c r="N2" s="237"/>
      <c r="O2" s="238"/>
      <c r="P2" s="238"/>
      <c r="Q2" s="238" t="s">
        <v>76</v>
      </c>
      <c r="R2" s="238"/>
      <c r="S2" s="239"/>
    </row>
    <row r="3" customFormat="false" ht="9.75" hidden="false" customHeight="false" outlineLevel="0" collapsed="false">
      <c r="A3" s="240"/>
      <c r="B3" s="241" t="s">
        <v>85</v>
      </c>
      <c r="C3" s="242"/>
      <c r="D3" s="243"/>
      <c r="E3" s="243"/>
      <c r="F3" s="243"/>
      <c r="G3" s="240"/>
      <c r="H3" s="244"/>
      <c r="I3" s="240"/>
      <c r="J3" s="245" t="s">
        <v>86</v>
      </c>
      <c r="K3" s="246"/>
      <c r="L3" s="247" t="n">
        <f aca="false">+H13</f>
        <v>0</v>
      </c>
      <c r="M3" s="246"/>
      <c r="N3" s="248"/>
      <c r="O3" s="238" t="s">
        <v>84</v>
      </c>
      <c r="P3" s="238" t="s">
        <v>87</v>
      </c>
      <c r="Q3" s="238" t="s">
        <v>48</v>
      </c>
      <c r="R3" s="238" t="s">
        <v>49</v>
      </c>
      <c r="S3" s="239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  <c r="IL3" s="240"/>
      <c r="IM3" s="240"/>
      <c r="IN3" s="240"/>
      <c r="IO3" s="240"/>
      <c r="IP3" s="240"/>
      <c r="IQ3" s="240"/>
      <c r="IR3" s="240"/>
      <c r="IS3" s="240"/>
      <c r="IT3" s="240"/>
      <c r="IU3" s="240"/>
      <c r="IV3" s="240"/>
      <c r="IW3" s="240"/>
    </row>
    <row r="4" customFormat="false" ht="9" hidden="false" customHeight="false" outlineLevel="0" collapsed="false">
      <c r="B4" s="249"/>
      <c r="C4" s="250"/>
      <c r="D4" s="251"/>
      <c r="E4" s="251"/>
      <c r="F4" s="251"/>
      <c r="G4" s="1"/>
      <c r="H4" s="252" t="n">
        <f aca="false">SUM(D4:F4)*16</f>
        <v>0</v>
      </c>
      <c r="J4" s="253" t="s">
        <v>88</v>
      </c>
      <c r="K4" s="254"/>
      <c r="L4" s="255" t="n">
        <f aca="false">+H21</f>
        <v>31605.5701933783</v>
      </c>
      <c r="M4" s="254"/>
      <c r="N4" s="248" t="s">
        <v>89</v>
      </c>
      <c r="O4" s="256" t="n">
        <f aca="false">SUM(H21:H25)</f>
        <v>-364933.785688438</v>
      </c>
      <c r="P4" s="257" t="n">
        <f aca="false">(+M5/12)*3</f>
        <v>0</v>
      </c>
      <c r="Q4" s="256" t="n">
        <f aca="false">SUM(O4:P4)</f>
        <v>-364933.785688438</v>
      </c>
      <c r="R4" s="258" t="n">
        <f aca="false">SUM(Q20:Q24)+R24</f>
        <v>441.125</v>
      </c>
      <c r="S4" s="239" t="n">
        <f aca="false">(+Q4/1000)+R4</f>
        <v>76.191214311562</v>
      </c>
    </row>
    <row r="5" customFormat="false" ht="9" hidden="false" customHeight="false" outlineLevel="0" collapsed="false">
      <c r="B5" s="259"/>
      <c r="C5" s="250"/>
      <c r="D5" s="251"/>
      <c r="E5" s="251"/>
      <c r="F5" s="251"/>
      <c r="G5" s="1"/>
      <c r="H5" s="252" t="n">
        <f aca="false">SUM(D5:F5)*16</f>
        <v>0</v>
      </c>
      <c r="J5" s="253" t="s">
        <v>90</v>
      </c>
      <c r="K5" s="254"/>
      <c r="L5" s="255" t="n">
        <f aca="false">+H35</f>
        <v>-1112852.3269261</v>
      </c>
      <c r="M5" s="260" t="n">
        <f aca="false">+H56*0.75</f>
        <v>0</v>
      </c>
      <c r="N5" s="248" t="s">
        <v>91</v>
      </c>
      <c r="O5" s="256" t="n">
        <f aca="false">SUM(H26:H34)</f>
        <v>-716312.971044288</v>
      </c>
      <c r="P5" s="257" t="n">
        <f aca="false">(+$M$5/12)*9</f>
        <v>0</v>
      </c>
      <c r="Q5" s="256" t="n">
        <f aca="false">SUM(O5:P5)</f>
        <v>-716312.971044288</v>
      </c>
      <c r="R5" s="258" t="n">
        <f aca="false">SUM(Q25:Q26)-R24</f>
        <v>790.875</v>
      </c>
      <c r="S5" s="239" t="n">
        <f aca="false">(+Q5/1000)+R5</f>
        <v>74.5620289557119</v>
      </c>
    </row>
    <row r="6" customFormat="false" ht="9" hidden="false" customHeight="false" outlineLevel="0" collapsed="false">
      <c r="B6" s="259"/>
      <c r="C6" s="250"/>
      <c r="D6" s="251"/>
      <c r="E6" s="251"/>
      <c r="G6" s="1"/>
      <c r="H6" s="252" t="n">
        <f aca="false">SUM(D6:F6)*16</f>
        <v>0</v>
      </c>
      <c r="J6" s="52" t="s">
        <v>92</v>
      </c>
      <c r="K6" s="254"/>
      <c r="L6" s="255" t="n">
        <f aca="false">+H50</f>
        <v>-287542.963830175</v>
      </c>
      <c r="M6" s="260" t="n">
        <f aca="false">+H57*0.75</f>
        <v>-164119.334628412</v>
      </c>
      <c r="N6" s="248" t="s">
        <v>93</v>
      </c>
      <c r="O6" s="256" t="n">
        <f aca="false">+H50+H54</f>
        <v>-1185382.96383018</v>
      </c>
      <c r="P6" s="257" t="n">
        <f aca="false">SUM(M6:M8)</f>
        <v>-321799.334628412</v>
      </c>
      <c r="Q6" s="256" t="n">
        <f aca="false">SUM(O6:P6)</f>
        <v>-1507182.29845859</v>
      </c>
      <c r="R6" s="258" t="n">
        <f aca="false">+Q27</f>
        <v>1277.5</v>
      </c>
      <c r="S6" s="239" t="n">
        <f aca="false">(+Q6/1000)+R6</f>
        <v>-229.682298458588</v>
      </c>
    </row>
    <row r="7" customFormat="false" ht="9" hidden="false" customHeight="false" outlineLevel="0" collapsed="false">
      <c r="B7" s="259"/>
      <c r="C7" s="261"/>
      <c r="D7" s="251"/>
      <c r="E7" s="251"/>
      <c r="G7" s="1"/>
      <c r="H7" s="252" t="n">
        <f aca="false">SUM(D7:F7)*16</f>
        <v>0</v>
      </c>
      <c r="J7" s="253" t="s">
        <v>94</v>
      </c>
      <c r="K7" s="254"/>
      <c r="L7" s="255" t="n">
        <f aca="false">+H52</f>
        <v>-555120</v>
      </c>
      <c r="M7" s="260" t="n">
        <f aca="false">+H58*0.75</f>
        <v>-157680</v>
      </c>
      <c r="N7" s="248"/>
      <c r="O7" s="262"/>
      <c r="P7" s="262"/>
      <c r="Q7" s="262"/>
      <c r="R7" s="258"/>
      <c r="S7" s="239"/>
    </row>
    <row r="8" customFormat="false" ht="9.75" hidden="false" customHeight="false" outlineLevel="0" collapsed="false">
      <c r="B8" s="259"/>
      <c r="C8" s="250"/>
      <c r="D8" s="251"/>
      <c r="E8" s="251"/>
      <c r="G8" s="1"/>
      <c r="H8" s="252" t="n">
        <f aca="false">SUM(D8:F8)*16</f>
        <v>0</v>
      </c>
      <c r="J8" s="263" t="s">
        <v>95</v>
      </c>
      <c r="K8" s="264"/>
      <c r="L8" s="265" t="n">
        <f aca="false">+H53</f>
        <v>-342720</v>
      </c>
      <c r="M8" s="264"/>
      <c r="N8" s="266"/>
      <c r="O8" s="267"/>
      <c r="P8" s="267"/>
      <c r="Q8" s="268" t="n">
        <f aca="false">SUM(Q4:Q6)</f>
        <v>-2588429.05519131</v>
      </c>
      <c r="R8" s="269" t="n">
        <f aca="false">SUM(R4:R6)</f>
        <v>2509.5</v>
      </c>
      <c r="S8" s="270" t="n">
        <f aca="false">SUM(S4:S7)</f>
        <v>-78.9290551913138</v>
      </c>
    </row>
    <row r="9" customFormat="false" ht="9.75" hidden="false" customHeight="false" outlineLevel="0" collapsed="false">
      <c r="B9" s="259"/>
      <c r="C9" s="261"/>
      <c r="D9" s="251"/>
      <c r="E9" s="251"/>
      <c r="G9" s="1"/>
      <c r="H9" s="252" t="n">
        <f aca="false">((SUM(D9:F9)*16)*C9)</f>
        <v>0</v>
      </c>
      <c r="J9" s="253"/>
      <c r="K9" s="254"/>
      <c r="L9" s="254"/>
      <c r="M9" s="271"/>
    </row>
    <row r="10" customFormat="false" ht="9" hidden="false" customHeight="false" outlineLevel="0" collapsed="false">
      <c r="B10" s="259"/>
      <c r="C10" s="261"/>
      <c r="D10" s="251"/>
      <c r="E10" s="251"/>
      <c r="F10" s="251"/>
      <c r="G10" s="1"/>
      <c r="H10" s="252" t="n">
        <f aca="false">((SUM(D10:F10)*16)*C10)</f>
        <v>0</v>
      </c>
      <c r="J10" s="272" t="s">
        <v>96</v>
      </c>
      <c r="K10" s="273"/>
      <c r="L10" s="274" t="n">
        <f aca="false">SUM(L3:L9)</f>
        <v>-2266629.7205629</v>
      </c>
      <c r="M10" s="275" t="n">
        <f aca="false">SUM(M3:M9)</f>
        <v>-321799.334628412</v>
      </c>
    </row>
    <row r="11" customFormat="false" ht="9.75" hidden="false" customHeight="false" outlineLevel="0" collapsed="false">
      <c r="B11" s="276"/>
      <c r="C11" s="250"/>
      <c r="D11" s="251"/>
      <c r="E11" s="251"/>
      <c r="F11" s="251"/>
      <c r="G11" s="1"/>
      <c r="H11" s="252"/>
      <c r="J11" s="277"/>
      <c r="K11" s="278"/>
      <c r="L11" s="278"/>
      <c r="M11" s="97"/>
    </row>
    <row r="12" customFormat="false" ht="9" hidden="false" customHeight="false" outlineLevel="0" collapsed="false">
      <c r="B12" s="279"/>
      <c r="C12" s="250"/>
      <c r="D12" s="251"/>
      <c r="E12" s="251"/>
      <c r="F12" s="251"/>
      <c r="G12" s="1"/>
      <c r="H12" s="252"/>
      <c r="J12" s="280" t="s">
        <v>97</v>
      </c>
      <c r="K12" s="281"/>
      <c r="L12" s="281"/>
      <c r="M12" s="282" t="n">
        <f aca="false">SUM(L10:M10)</f>
        <v>-2588429.05519131</v>
      </c>
      <c r="N12" s="283" t="n">
        <f aca="false">+L10+H56+H57</f>
        <v>-2485455.50006745</v>
      </c>
      <c r="O12" s="284"/>
    </row>
    <row r="13" customFormat="false" ht="9.75" hidden="false" customHeight="false" outlineLevel="0" collapsed="false">
      <c r="B13" s="279" t="s">
        <v>98</v>
      </c>
      <c r="C13" s="250"/>
      <c r="D13" s="251"/>
      <c r="F13" s="251"/>
      <c r="G13" s="1"/>
      <c r="H13" s="285" t="n">
        <f aca="false">SUM(H4:H12)</f>
        <v>0</v>
      </c>
      <c r="J13" s="286" t="s">
        <v>99</v>
      </c>
      <c r="K13" s="287"/>
      <c r="L13" s="288"/>
      <c r="M13" s="289" t="n">
        <f aca="false">+Q30</f>
        <v>2509.5</v>
      </c>
      <c r="N13" s="261"/>
    </row>
    <row r="14" customFormat="false" ht="9.75" hidden="false" customHeight="false" outlineLevel="0" collapsed="false">
      <c r="B14" s="290"/>
      <c r="C14" s="291"/>
      <c r="D14" s="292"/>
      <c r="E14" s="292"/>
      <c r="F14" s="292"/>
      <c r="G14" s="62"/>
      <c r="H14" s="292"/>
    </row>
    <row r="15" customFormat="false" ht="9" hidden="false" customHeight="false" outlineLevel="0" collapsed="false">
      <c r="B15" s="293" t="s">
        <v>100</v>
      </c>
      <c r="C15" s="220"/>
      <c r="D15" s="221" t="s">
        <v>74</v>
      </c>
      <c r="E15" s="221" t="s">
        <v>75</v>
      </c>
      <c r="F15" s="221" t="s">
        <v>75</v>
      </c>
      <c r="G15" s="294"/>
      <c r="H15" s="295"/>
      <c r="J15" s="296"/>
      <c r="K15" s="297"/>
      <c r="L15" s="297"/>
      <c r="M15" s="297"/>
      <c r="N15" s="297"/>
      <c r="O15" s="297"/>
      <c r="P15" s="298"/>
      <c r="Q15" s="299"/>
      <c r="U15" s="300" t="s">
        <v>100</v>
      </c>
      <c r="V15" s="301"/>
      <c r="W15" s="302" t="s">
        <v>75</v>
      </c>
      <c r="X15" s="303"/>
      <c r="Y15" s="302" t="s">
        <v>75</v>
      </c>
      <c r="Z15" s="301"/>
      <c r="AA15" s="303" t="s">
        <v>101</v>
      </c>
      <c r="AB15" s="302" t="s">
        <v>102</v>
      </c>
      <c r="AC15" s="304"/>
    </row>
    <row r="16" customFormat="false" ht="9.75" hidden="false" customHeight="false" outlineLevel="0" collapsed="false">
      <c r="B16" s="305" t="s">
        <v>103</v>
      </c>
      <c r="C16" s="230" t="s">
        <v>104</v>
      </c>
      <c r="D16" s="231" t="s">
        <v>80</v>
      </c>
      <c r="E16" s="231" t="s">
        <v>81</v>
      </c>
      <c r="F16" s="231" t="s">
        <v>82</v>
      </c>
      <c r="G16" s="306"/>
      <c r="H16" s="307" t="s">
        <v>76</v>
      </c>
      <c r="J16" s="305" t="s">
        <v>105</v>
      </c>
      <c r="K16" s="308"/>
      <c r="L16" s="308"/>
      <c r="M16" s="308"/>
      <c r="N16" s="308"/>
      <c r="O16" s="308"/>
      <c r="P16" s="309"/>
      <c r="Q16" s="310" t="s">
        <v>106</v>
      </c>
      <c r="U16" s="311" t="s">
        <v>103</v>
      </c>
      <c r="V16" s="312" t="s">
        <v>104</v>
      </c>
      <c r="W16" s="313" t="s">
        <v>80</v>
      </c>
      <c r="X16" s="314"/>
      <c r="Y16" s="313" t="s">
        <v>81</v>
      </c>
      <c r="Z16" s="312"/>
      <c r="AA16" s="313" t="s">
        <v>107</v>
      </c>
      <c r="AB16" s="313" t="s">
        <v>108</v>
      </c>
      <c r="AC16" s="315" t="s">
        <v>76</v>
      </c>
    </row>
    <row r="17" customFormat="false" ht="9.75" hidden="false" customHeight="false" outlineLevel="0" collapsed="false">
      <c r="B17" s="316" t="s">
        <v>109</v>
      </c>
      <c r="C17" s="62"/>
      <c r="D17" s="251"/>
      <c r="E17" s="251"/>
      <c r="F17" s="251"/>
      <c r="G17" s="251"/>
      <c r="J17" s="240"/>
      <c r="K17" s="240"/>
      <c r="L17" s="240"/>
      <c r="M17" s="240"/>
      <c r="N17" s="240"/>
      <c r="O17" s="240"/>
      <c r="P17" s="240"/>
      <c r="U17" s="316" t="s">
        <v>109</v>
      </c>
      <c r="V17" s="62"/>
      <c r="W17" s="251"/>
      <c r="X17" s="251"/>
      <c r="Y17" s="251"/>
      <c r="Z17" s="2"/>
      <c r="AA17" s="251"/>
      <c r="AB17" s="251"/>
      <c r="AC17" s="2"/>
    </row>
    <row r="18" customFormat="false" ht="9.75" hidden="false" customHeight="false" outlineLevel="0" collapsed="false">
      <c r="B18" s="317"/>
      <c r="C18" s="318"/>
      <c r="D18" s="319"/>
      <c r="E18" s="319"/>
      <c r="F18" s="319"/>
      <c r="G18" s="319"/>
      <c r="H18" s="320"/>
      <c r="J18" s="321"/>
      <c r="K18" s="322"/>
      <c r="L18" s="323" t="s">
        <v>110</v>
      </c>
      <c r="M18" s="322" t="s">
        <v>111</v>
      </c>
      <c r="N18" s="322" t="s">
        <v>112</v>
      </c>
      <c r="O18" s="322" t="s">
        <v>113</v>
      </c>
      <c r="P18" s="324" t="s">
        <v>96</v>
      </c>
      <c r="Q18" s="325"/>
      <c r="U18" s="317" t="s">
        <v>114</v>
      </c>
      <c r="V18" s="318" t="n">
        <v>23</v>
      </c>
      <c r="W18" s="319" t="n">
        <f aca="false">+D18</f>
        <v>0</v>
      </c>
      <c r="X18" s="326" t="n">
        <f aca="false">((+W18*16)*V18)*AB18</f>
        <v>0</v>
      </c>
      <c r="Y18" s="319" t="n">
        <f aca="false">+E18</f>
        <v>0</v>
      </c>
      <c r="Z18" s="327" t="n">
        <f aca="false">((+Y18*16)*V18)*AB18</f>
        <v>0</v>
      </c>
      <c r="AA18" s="328" t="n">
        <f aca="false">[2]Interest!Y12</f>
        <v>0.023906183208565</v>
      </c>
      <c r="AB18" s="328" t="n">
        <f aca="false">1/(1+AA18/12)^(12*('[3]Term Sheet'!B10-'[3]Term Sheet'!$A$2)/365.25)</f>
        <v>0.991406128422386</v>
      </c>
      <c r="AC18" s="320" t="n">
        <f aca="false">+X18+Z18</f>
        <v>0</v>
      </c>
    </row>
    <row r="19" customFormat="false" ht="9" hidden="false" customHeight="false" outlineLevel="0" collapsed="false">
      <c r="B19" s="329" t="s">
        <v>115</v>
      </c>
      <c r="C19" s="330" t="n">
        <v>21</v>
      </c>
      <c r="H19" s="331" t="n">
        <f aca="false">+AC19</f>
        <v>0</v>
      </c>
      <c r="J19" s="332"/>
      <c r="K19" s="333"/>
      <c r="L19" s="334"/>
      <c r="M19" s="333"/>
      <c r="N19" s="335"/>
      <c r="O19" s="335"/>
      <c r="P19" s="320"/>
      <c r="Q19" s="336"/>
      <c r="U19" s="329" t="s">
        <v>115</v>
      </c>
      <c r="V19" s="330" t="n">
        <v>21</v>
      </c>
      <c r="W19" s="2" t="n">
        <f aca="false">+D19</f>
        <v>0</v>
      </c>
      <c r="X19" s="337" t="n">
        <f aca="false">((+W19*16)*V19)*AB19</f>
        <v>0</v>
      </c>
      <c r="Y19" s="2" t="n">
        <f aca="false">+E19</f>
        <v>0</v>
      </c>
      <c r="Z19" s="338" t="n">
        <f aca="false">((+Y19*16)*V19)*AB19</f>
        <v>0</v>
      </c>
      <c r="AA19" s="339" t="n">
        <f aca="false">[2]Interest!Y13</f>
        <v>0.023637804129399</v>
      </c>
      <c r="AB19" s="339" t="n">
        <f aca="false">1/(1+AA19/12)^(12*('[3]Term Sheet'!B11-'[3]Term Sheet'!$A$2)/365.25)</f>
        <v>0.989516875778263</v>
      </c>
      <c r="AC19" s="331" t="n">
        <f aca="false">+X19+Z19</f>
        <v>0</v>
      </c>
    </row>
    <row r="20" customFormat="false" ht="9.75" hidden="false" customHeight="false" outlineLevel="0" collapsed="false">
      <c r="B20" s="340" t="s">
        <v>116</v>
      </c>
      <c r="C20" s="341" t="n">
        <v>20</v>
      </c>
      <c r="D20" s="342" t="n">
        <v>100</v>
      </c>
      <c r="E20" s="342"/>
      <c r="F20" s="342"/>
      <c r="G20" s="342"/>
      <c r="H20" s="343" t="n">
        <f aca="false">+AC20</f>
        <v>31605.5701933783</v>
      </c>
      <c r="J20" s="344" t="s">
        <v>117</v>
      </c>
      <c r="K20" s="345" t="n">
        <v>30</v>
      </c>
      <c r="L20" s="261"/>
      <c r="M20" s="61" t="n">
        <f aca="false">+L20*K20</f>
        <v>0</v>
      </c>
      <c r="N20" s="339" t="n">
        <f aca="false">[2]Interest!Y13</f>
        <v>0.023637804129399</v>
      </c>
      <c r="O20" s="339" t="n">
        <f aca="false">1/(1+N20/12)^(12*('[3]Term Sheet'!B11-'[3]Term Sheet'!$A$2)/365.25)</f>
        <v>0.989516875778263</v>
      </c>
      <c r="P20" s="331" t="n">
        <f aca="false">+M20*O20</f>
        <v>0</v>
      </c>
      <c r="Q20" s="346" t="n">
        <f aca="false">(+L20/10000)*K20</f>
        <v>0</v>
      </c>
      <c r="U20" s="340" t="s">
        <v>116</v>
      </c>
      <c r="V20" s="341" t="n">
        <v>20</v>
      </c>
      <c r="W20" s="342" t="n">
        <f aca="false">+D20</f>
        <v>100</v>
      </c>
      <c r="X20" s="347" t="n">
        <f aca="false">((+W20*16)*V20)*AB20</f>
        <v>31605.5701933783</v>
      </c>
      <c r="Y20" s="342" t="n">
        <f aca="false">+E20</f>
        <v>0</v>
      </c>
      <c r="Z20" s="348" t="n">
        <f aca="false">((+Y20*16)*V20)*AB20</f>
        <v>0</v>
      </c>
      <c r="AA20" s="349" t="n">
        <f aca="false">[2]Interest!Y14</f>
        <v>0.0234945892645841</v>
      </c>
      <c r="AB20" s="349" t="n">
        <f aca="false">1/(1+AA20/12)^(12*('[3]Term Sheet'!B12-'[3]Term Sheet'!$A$2)/365.25)</f>
        <v>0.987674068543071</v>
      </c>
      <c r="AC20" s="343" t="n">
        <f aca="false">+X20+Z20</f>
        <v>31605.5701933783</v>
      </c>
    </row>
    <row r="21" customFormat="false" ht="9" hidden="false" customHeight="false" outlineLevel="0" collapsed="false">
      <c r="C21" s="61"/>
      <c r="D21" s="350"/>
      <c r="H21" s="61" t="n">
        <f aca="false">SUM(H18:H20)</f>
        <v>31605.5701933783</v>
      </c>
      <c r="J21" s="344" t="s">
        <v>118</v>
      </c>
      <c r="K21" s="345" t="n">
        <v>31</v>
      </c>
      <c r="L21" s="261"/>
      <c r="M21" s="61" t="n">
        <f aca="false">+L21*K21</f>
        <v>0</v>
      </c>
      <c r="N21" s="339" t="n">
        <f aca="false">[2]Interest!Y14</f>
        <v>0.0234945892645841</v>
      </c>
      <c r="O21" s="339" t="n">
        <f aca="false">1/(1+N21/12)^(12*('[3]Term Sheet'!B12-'[3]Term Sheet'!$A$2)/365.25)</f>
        <v>0.987674068543071</v>
      </c>
      <c r="P21" s="331" t="n">
        <f aca="false">+M21*O21</f>
        <v>0</v>
      </c>
      <c r="Q21" s="346" t="n">
        <f aca="false">(+L21/10000)*K21</f>
        <v>0</v>
      </c>
      <c r="V21" s="61"/>
      <c r="W21" s="350"/>
      <c r="X21" s="2"/>
      <c r="Y21" s="2"/>
      <c r="Z21" s="2"/>
      <c r="AA21" s="2"/>
      <c r="AB21" s="2"/>
      <c r="AC21" s="61" t="n">
        <f aca="false">SUM(AC18:AC20)</f>
        <v>31605.5701933783</v>
      </c>
      <c r="AE21" s="351" t="s">
        <v>117</v>
      </c>
      <c r="AF21" s="261" t="n">
        <f aca="false">+L20</f>
        <v>0</v>
      </c>
      <c r="AG21" s="61" t="n">
        <f aca="false">+P20</f>
        <v>0</v>
      </c>
    </row>
    <row r="22" customFormat="false" ht="9.75" hidden="false" customHeight="false" outlineLevel="0" collapsed="false">
      <c r="B22" s="352" t="n">
        <v>2002</v>
      </c>
      <c r="C22" s="61"/>
      <c r="D22" s="350"/>
      <c r="H22" s="61"/>
      <c r="J22" s="353" t="s">
        <v>119</v>
      </c>
      <c r="K22" s="354" t="n">
        <v>31</v>
      </c>
      <c r="L22" s="261" t="n">
        <v>20000</v>
      </c>
      <c r="M22" s="61" t="n">
        <f aca="false">+L22*K22</f>
        <v>620000</v>
      </c>
      <c r="N22" s="339" t="n">
        <f aca="false">[2]Interest!Y15</f>
        <v>0.0235580956015449</v>
      </c>
      <c r="O22" s="339" t="n">
        <f aca="false">1/(1+N22/12)^(12*('[3]Term Sheet'!B13-'[3]Term Sheet'!$A$2)/365.25)</f>
        <v>0.985670151584004</v>
      </c>
      <c r="P22" s="331" t="n">
        <f aca="false">+M22*O22</f>
        <v>611115.493982083</v>
      </c>
      <c r="Q22" s="346" t="n">
        <f aca="false">(+L22/10000)*K22</f>
        <v>62</v>
      </c>
      <c r="U22" s="352" t="n">
        <v>2002</v>
      </c>
      <c r="V22" s="61"/>
      <c r="W22" s="350"/>
      <c r="X22" s="2"/>
      <c r="Y22" s="2"/>
      <c r="Z22" s="2"/>
      <c r="AA22" s="2"/>
      <c r="AB22" s="2"/>
      <c r="AC22" s="61"/>
      <c r="AE22" s="351" t="s">
        <v>118</v>
      </c>
      <c r="AF22" s="261" t="n">
        <f aca="false">+L21</f>
        <v>0</v>
      </c>
      <c r="AG22" s="61" t="n">
        <f aca="false">+P21</f>
        <v>0</v>
      </c>
    </row>
    <row r="23" customFormat="false" ht="9" hidden="false" customHeight="false" outlineLevel="0" collapsed="false">
      <c r="B23" s="355" t="s">
        <v>120</v>
      </c>
      <c r="C23" s="333" t="n">
        <v>22</v>
      </c>
      <c r="D23" s="356" t="n">
        <v>-350</v>
      </c>
      <c r="E23" s="319"/>
      <c r="F23" s="319"/>
      <c r="G23" s="319"/>
      <c r="H23" s="320" t="n">
        <f aca="false">+AC23</f>
        <v>-121434.562675149</v>
      </c>
      <c r="J23" s="353" t="s">
        <v>121</v>
      </c>
      <c r="K23" s="354" t="n">
        <v>28</v>
      </c>
      <c r="L23" s="261"/>
      <c r="M23" s="61" t="n">
        <f aca="false">+L23*K23</f>
        <v>0</v>
      </c>
      <c r="N23" s="339" t="n">
        <f aca="false">[2]Interest!Y16</f>
        <v>0.0236237188178374</v>
      </c>
      <c r="O23" s="339" t="n">
        <f aca="false">1/(1+N23/12)^(12*('[3]Term Sheet'!B14-'[3]Term Sheet'!$A$2)/365.25)</f>
        <v>0.983658266601392</v>
      </c>
      <c r="P23" s="331" t="n">
        <f aca="false">+M23*O23</f>
        <v>0</v>
      </c>
      <c r="Q23" s="346" t="n">
        <f aca="false">(+L23/10000)*K23</f>
        <v>0</v>
      </c>
      <c r="U23" s="355" t="s">
        <v>120</v>
      </c>
      <c r="V23" s="333" t="n">
        <v>22</v>
      </c>
      <c r="W23" s="319" t="n">
        <f aca="false">+D23</f>
        <v>-350</v>
      </c>
      <c r="X23" s="326" t="n">
        <f aca="false">((+W23*16)*V23)*AB23</f>
        <v>-121434.562675149</v>
      </c>
      <c r="Y23" s="319" t="n">
        <f aca="false">+E23</f>
        <v>0</v>
      </c>
      <c r="Z23" s="327" t="n">
        <f aca="false">((+Y23*16)*V23)*AB23</f>
        <v>0</v>
      </c>
      <c r="AA23" s="357" t="n">
        <f aca="false">[2]Interest!Y15</f>
        <v>0.0235580956015449</v>
      </c>
      <c r="AB23" s="328" t="n">
        <f aca="false">1/(1+AA23/12)^(12*('[3]Term Sheet'!B13-'[3]Term Sheet'!$A$2)/365.25)</f>
        <v>0.985670151584004</v>
      </c>
      <c r="AC23" s="320" t="n">
        <f aca="false">+X23+Z23</f>
        <v>-121434.562675149</v>
      </c>
      <c r="AE23" s="358" t="s">
        <v>119</v>
      </c>
      <c r="AF23" s="261" t="n">
        <f aca="false">+L22</f>
        <v>20000</v>
      </c>
      <c r="AG23" s="61" t="n">
        <f aca="false">+P22</f>
        <v>611115.493982083</v>
      </c>
    </row>
    <row r="24" customFormat="false" ht="9" hidden="false" customHeight="false" outlineLevel="0" collapsed="false">
      <c r="B24" s="344" t="s">
        <v>122</v>
      </c>
      <c r="C24" s="62" t="n">
        <v>20</v>
      </c>
      <c r="D24" s="292" t="n">
        <v>-350</v>
      </c>
      <c r="H24" s="331" t="n">
        <f aca="false">+AC24</f>
        <v>-110169.725859356</v>
      </c>
      <c r="J24" s="344" t="s">
        <v>123</v>
      </c>
      <c r="K24" s="345" t="n">
        <v>151</v>
      </c>
      <c r="L24" s="261" t="n">
        <v>10000</v>
      </c>
      <c r="M24" s="61" t="n">
        <f aca="false">+L24*K24</f>
        <v>1510000</v>
      </c>
      <c r="N24" s="339" t="n">
        <f aca="false">[2]Interest!Y15</f>
        <v>0.0235580956015449</v>
      </c>
      <c r="O24" s="339" t="n">
        <f aca="false">1/(1+N24/12)^(12*('[3]Term Sheet'!B13-'[3]Term Sheet'!$A$2)/365.25)</f>
        <v>0.985670151584004</v>
      </c>
      <c r="P24" s="331" t="n">
        <f aca="false">+M24*O24</f>
        <v>1488361.92889185</v>
      </c>
      <c r="Q24" s="346" t="n">
        <f aca="false">(+L24/10000)*K24</f>
        <v>151</v>
      </c>
      <c r="R24" s="261" t="n">
        <f aca="false">+Q26*0.25</f>
        <v>228.125</v>
      </c>
      <c r="U24" s="344" t="s">
        <v>122</v>
      </c>
      <c r="V24" s="62" t="n">
        <v>20</v>
      </c>
      <c r="W24" s="2" t="n">
        <f aca="false">+D24</f>
        <v>-350</v>
      </c>
      <c r="X24" s="337" t="n">
        <f aca="false">((+W24*16)*V24)*AB24</f>
        <v>-110169.725859356</v>
      </c>
      <c r="Y24" s="2" t="n">
        <f aca="false">+E24</f>
        <v>0</v>
      </c>
      <c r="Z24" s="338" t="n">
        <f aca="false">((+Y24*16)*V24)*AB24</f>
        <v>0</v>
      </c>
      <c r="AA24" s="359" t="n">
        <f aca="false">[2]Interest!Y16</f>
        <v>0.0236237188178374</v>
      </c>
      <c r="AB24" s="339" t="n">
        <f aca="false">1/(1+AA24/12)^(12*('[3]Term Sheet'!B14-'[3]Term Sheet'!$A$2)/365.25)</f>
        <v>0.983658266601392</v>
      </c>
      <c r="AC24" s="331" t="n">
        <f aca="false">+X24+Z24</f>
        <v>-110169.725859356</v>
      </c>
      <c r="AE24" s="351" t="s">
        <v>123</v>
      </c>
      <c r="AF24" s="261" t="n">
        <f aca="false">+L24</f>
        <v>10000</v>
      </c>
      <c r="AG24" s="61" t="n">
        <f aca="false">+P24</f>
        <v>1488361.92889185</v>
      </c>
    </row>
    <row r="25" customFormat="false" ht="9" hidden="false" customHeight="false" outlineLevel="0" collapsed="false">
      <c r="B25" s="344" t="s">
        <v>124</v>
      </c>
      <c r="C25" s="62" t="n">
        <v>21</v>
      </c>
      <c r="D25" s="292" t="n">
        <v>-500</v>
      </c>
      <c r="H25" s="331" t="n">
        <f aca="false">+AC25</f>
        <v>-164935.067347311</v>
      </c>
      <c r="J25" s="344" t="s">
        <v>125</v>
      </c>
      <c r="K25" s="354" t="n">
        <v>213</v>
      </c>
      <c r="L25" s="261" t="n">
        <v>5000</v>
      </c>
      <c r="M25" s="61" t="n">
        <f aca="false">+L25*K25</f>
        <v>1065000</v>
      </c>
      <c r="N25" s="339" t="n">
        <f aca="false">AVERAGE(AA23:AA34)</f>
        <v>0.0254198204022103</v>
      </c>
      <c r="O25" s="339" t="n">
        <f aca="false">AVERAGE(AB23:AB34)</f>
        <v>0.972826489506083</v>
      </c>
      <c r="P25" s="331" t="n">
        <f aca="false">+M25*O25</f>
        <v>1036060.21132398</v>
      </c>
      <c r="Q25" s="346" t="n">
        <f aca="false">(+L25/10000)*K25</f>
        <v>106.5</v>
      </c>
      <c r="R25" s="261"/>
      <c r="U25" s="344" t="s">
        <v>124</v>
      </c>
      <c r="V25" s="62" t="n">
        <v>21</v>
      </c>
      <c r="W25" s="2" t="n">
        <f aca="false">+D25</f>
        <v>-500</v>
      </c>
      <c r="X25" s="337" t="n">
        <f aca="false">((+W25*16)*V25)*AB25</f>
        <v>-164935.067347311</v>
      </c>
      <c r="Y25" s="2" t="n">
        <f aca="false">+E25</f>
        <v>0</v>
      </c>
      <c r="Z25" s="338" t="n">
        <f aca="false">((+Y25*16)*V25)*AB25</f>
        <v>0</v>
      </c>
      <c r="AA25" s="359" t="n">
        <f aca="false">[2]Interest!Y17</f>
        <v>0.023786882732868</v>
      </c>
      <c r="AB25" s="339" t="n">
        <f aca="false">1/(1+AA25/12)^(12*('[3]Term Sheet'!B15-'[3]Term Sheet'!$A$2)/365.25)</f>
        <v>0.981756353257804</v>
      </c>
      <c r="AC25" s="331" t="n">
        <f aca="false">+X25+Z25</f>
        <v>-164935.067347311</v>
      </c>
      <c r="AE25" s="351" t="s">
        <v>125</v>
      </c>
      <c r="AF25" s="261" t="n">
        <f aca="false">+L25</f>
        <v>5000</v>
      </c>
      <c r="AG25" s="61" t="n">
        <f aca="false">+P25</f>
        <v>1036060.21132398</v>
      </c>
    </row>
    <row r="26" customFormat="false" ht="9" hidden="false" customHeight="false" outlineLevel="0" collapsed="false">
      <c r="B26" s="344" t="s">
        <v>126</v>
      </c>
      <c r="C26" s="62" t="n">
        <v>22</v>
      </c>
      <c r="D26" s="292" t="n">
        <v>-500</v>
      </c>
      <c r="H26" s="331" t="n">
        <f aca="false">+AC26</f>
        <v>-172392.185387725</v>
      </c>
      <c r="J26" s="344" t="s">
        <v>90</v>
      </c>
      <c r="K26" s="345" t="n">
        <v>365</v>
      </c>
      <c r="L26" s="261" t="n">
        <v>25000</v>
      </c>
      <c r="M26" s="61" t="n">
        <f aca="false">+L26*K26</f>
        <v>9125000</v>
      </c>
      <c r="N26" s="339" t="n">
        <f aca="false">+N25</f>
        <v>0.0254198204022103</v>
      </c>
      <c r="O26" s="339" t="n">
        <f aca="false">+O25</f>
        <v>0.972826489506083</v>
      </c>
      <c r="P26" s="331" t="n">
        <f aca="false">+M26*O26</f>
        <v>8877041.71674301</v>
      </c>
      <c r="Q26" s="346" t="n">
        <f aca="false">(+L26/10000)*K26</f>
        <v>912.5</v>
      </c>
      <c r="R26" s="261"/>
      <c r="U26" s="344" t="s">
        <v>126</v>
      </c>
      <c r="V26" s="62" t="n">
        <v>22</v>
      </c>
      <c r="W26" s="2" t="n">
        <f aca="false">+D26</f>
        <v>-500</v>
      </c>
      <c r="X26" s="337" t="n">
        <f aca="false">((+W26*16)*V26)*AB26</f>
        <v>-172392.185387725</v>
      </c>
      <c r="Y26" s="2" t="n">
        <f aca="false">+E26</f>
        <v>0</v>
      </c>
      <c r="Z26" s="338" t="n">
        <f aca="false">((+Y26*16)*V26)*AB26</f>
        <v>0</v>
      </c>
      <c r="AA26" s="359" t="n">
        <f aca="false">[2]Interest!Y18</f>
        <v>0.0241167036546988</v>
      </c>
      <c r="AB26" s="339" t="n">
        <f aca="false">1/(1+AA26/12)^(12*('[3]Term Sheet'!B16-'[3]Term Sheet'!$A$2)/365.25)</f>
        <v>0.979501053339345</v>
      </c>
      <c r="AC26" s="331" t="n">
        <f aca="false">+X26+Z26</f>
        <v>-172392.185387725</v>
      </c>
      <c r="AE26" s="351" t="s">
        <v>90</v>
      </c>
      <c r="AF26" s="261" t="n">
        <f aca="false">+L26</f>
        <v>25000</v>
      </c>
      <c r="AG26" s="61" t="n">
        <f aca="false">+P26</f>
        <v>8877041.71674301</v>
      </c>
    </row>
    <row r="27" customFormat="false" ht="9" hidden="false" customHeight="false" outlineLevel="0" collapsed="false">
      <c r="B27" s="344" t="s">
        <v>127</v>
      </c>
      <c r="C27" s="62" t="n">
        <v>22</v>
      </c>
      <c r="D27" s="292" t="n">
        <v>-450</v>
      </c>
      <c r="H27" s="331" t="n">
        <f aca="false">+AC27</f>
        <v>-154798.25027834</v>
      </c>
      <c r="J27" s="344" t="s">
        <v>92</v>
      </c>
      <c r="K27" s="354" t="n">
        <v>365</v>
      </c>
      <c r="L27" s="261" t="n">
        <v>35000</v>
      </c>
      <c r="M27" s="61" t="n">
        <f aca="false">+L27*K27</f>
        <v>12775000</v>
      </c>
      <c r="N27" s="339" t="n">
        <f aca="false">+AA70</f>
        <v>0.0322155374116779</v>
      </c>
      <c r="O27" s="339" t="n">
        <f aca="false">+AB70</f>
        <v>0.935152903865597</v>
      </c>
      <c r="P27" s="331" t="n">
        <f aca="false">+M27*O27</f>
        <v>11946578.346883</v>
      </c>
      <c r="Q27" s="346" t="n">
        <f aca="false">(+L27/10000)*K27</f>
        <v>1277.5</v>
      </c>
      <c r="U27" s="344" t="s">
        <v>127</v>
      </c>
      <c r="V27" s="62" t="n">
        <v>22</v>
      </c>
      <c r="W27" s="2" t="n">
        <f aca="false">+D27</f>
        <v>-450</v>
      </c>
      <c r="X27" s="337" t="n">
        <f aca="false">((+W27*16)*V27)*AB27</f>
        <v>-154798.25027834</v>
      </c>
      <c r="Y27" s="2" t="n">
        <f aca="false">+E27</f>
        <v>0</v>
      </c>
      <c r="Z27" s="338" t="n">
        <f aca="false">((+Y27*16)*V27)*AB27</f>
        <v>0</v>
      </c>
      <c r="AA27" s="359" t="n">
        <f aca="false">[2]Interest!Y19</f>
        <v>0.0244465246133143</v>
      </c>
      <c r="AB27" s="339" t="n">
        <f aca="false">1/(1+AA27/12)^(12*('[3]Term Sheet'!B17-'[3]Term Sheet'!$A$2)/365.25)</f>
        <v>0.977261681050126</v>
      </c>
      <c r="AC27" s="331" t="n">
        <f aca="false">+X27+Z27</f>
        <v>-154798.25027834</v>
      </c>
      <c r="AE27" s="351" t="s">
        <v>92</v>
      </c>
      <c r="AF27" s="261" t="n">
        <f aca="false">+L27</f>
        <v>35000</v>
      </c>
      <c r="AG27" s="61" t="n">
        <f aca="false">+P27</f>
        <v>11946578.346883</v>
      </c>
    </row>
    <row r="28" customFormat="false" ht="9" hidden="false" customHeight="false" outlineLevel="0" collapsed="false">
      <c r="B28" s="344" t="s">
        <v>128</v>
      </c>
      <c r="C28" s="62" t="n">
        <v>20</v>
      </c>
      <c r="D28" s="292" t="n">
        <v>200</v>
      </c>
      <c r="H28" s="331" t="n">
        <f aca="false">+AC28</f>
        <v>62389.9302053539</v>
      </c>
      <c r="J28" s="52"/>
      <c r="K28" s="62"/>
      <c r="L28" s="62"/>
      <c r="M28" s="62"/>
      <c r="N28" s="62"/>
      <c r="O28" s="62"/>
      <c r="P28" s="53"/>
      <c r="Q28" s="336"/>
      <c r="U28" s="344" t="s">
        <v>128</v>
      </c>
      <c r="V28" s="62" t="n">
        <v>20</v>
      </c>
      <c r="W28" s="2" t="n">
        <f aca="false">+D28</f>
        <v>200</v>
      </c>
      <c r="X28" s="337" t="n">
        <f aca="false">((+W28*16)*V28)*AB28</f>
        <v>62389.9302053539</v>
      </c>
      <c r="Y28" s="2" t="n">
        <f aca="false">+E28</f>
        <v>0</v>
      </c>
      <c r="Z28" s="338" t="n">
        <f aca="false">((+Y28*16)*V28)*AB28</f>
        <v>0</v>
      </c>
      <c r="AA28" s="359" t="n">
        <f aca="false">[2]Interest!Y20</f>
        <v>0.0248424157935054</v>
      </c>
      <c r="AB28" s="339" t="n">
        <f aca="false">1/(1+AA28/12)^(12*('[3]Term Sheet'!B18-'[3]Term Sheet'!$A$2)/365.25)</f>
        <v>0.974842659458655</v>
      </c>
      <c r="AC28" s="331" t="n">
        <f aca="false">+X28+Z28</f>
        <v>62389.9302053539</v>
      </c>
      <c r="AE28" s="62"/>
      <c r="AF28" s="62"/>
      <c r="AG28" s="62"/>
    </row>
    <row r="29" customFormat="false" ht="9" hidden="false" customHeight="false" outlineLevel="0" collapsed="false">
      <c r="B29" s="344" t="s">
        <v>129</v>
      </c>
      <c r="C29" s="62" t="n">
        <v>22</v>
      </c>
      <c r="D29" s="292" t="n">
        <v>-350</v>
      </c>
      <c r="H29" s="331" t="n">
        <f aca="false">+AC29</f>
        <v>-119787.379055786</v>
      </c>
      <c r="J29" s="52"/>
      <c r="K29" s="62"/>
      <c r="L29" s="62"/>
      <c r="M29" s="62"/>
      <c r="N29" s="62"/>
      <c r="O29" s="62"/>
      <c r="P29" s="53"/>
      <c r="Q29" s="336"/>
      <c r="U29" s="344" t="s">
        <v>129</v>
      </c>
      <c r="V29" s="62" t="n">
        <v>22</v>
      </c>
      <c r="W29" s="2" t="n">
        <f aca="false">+D29</f>
        <v>-350</v>
      </c>
      <c r="X29" s="337" t="n">
        <f aca="false">((+W29*16)*V29)*AB29</f>
        <v>-119787.379055786</v>
      </c>
      <c r="Y29" s="2" t="n">
        <f aca="false">+E29</f>
        <v>0</v>
      </c>
      <c r="Z29" s="338" t="n">
        <f aca="false">((+Y29*16)*V29)*AB29</f>
        <v>0</v>
      </c>
      <c r="AA29" s="359" t="n">
        <f aca="false">[2]Interest!Y21</f>
        <v>0.0253604291089107</v>
      </c>
      <c r="AB29" s="339" t="n">
        <f aca="false">1/(1+AA29/12)^(12*('[3]Term Sheet'!B19-'[3]Term Sheet'!$A$2)/365.25)</f>
        <v>0.97230015467359</v>
      </c>
      <c r="AC29" s="331" t="n">
        <f aca="false">+X29+Z29</f>
        <v>-119787.379055786</v>
      </c>
    </row>
    <row r="30" customFormat="false" ht="9.75" hidden="false" customHeight="false" outlineLevel="0" collapsed="false">
      <c r="B30" s="344" t="s">
        <v>130</v>
      </c>
      <c r="C30" s="62" t="n">
        <v>22</v>
      </c>
      <c r="D30" s="292" t="n">
        <v>-350</v>
      </c>
      <c r="H30" s="331" t="n">
        <f aca="false">+AC30</f>
        <v>-119458.740416252</v>
      </c>
      <c r="J30" s="360" t="s">
        <v>96</v>
      </c>
      <c r="K30" s="361"/>
      <c r="L30" s="361"/>
      <c r="M30" s="362" t="n">
        <f aca="false">SUM(M20:M27)</f>
        <v>25095000</v>
      </c>
      <c r="N30" s="361"/>
      <c r="O30" s="361"/>
      <c r="P30" s="363" t="n">
        <f aca="false">SUM(P20:P27)</f>
        <v>23959157.6978239</v>
      </c>
      <c r="Q30" s="364" t="n">
        <f aca="false">SUM(Q20:Q28)</f>
        <v>2509.5</v>
      </c>
      <c r="U30" s="344" t="s">
        <v>130</v>
      </c>
      <c r="V30" s="62" t="n">
        <v>22</v>
      </c>
      <c r="W30" s="2" t="n">
        <f aca="false">+D30</f>
        <v>-350</v>
      </c>
      <c r="X30" s="337" t="n">
        <f aca="false">((+W30*16)*V30)*AB30</f>
        <v>-119458.740416252</v>
      </c>
      <c r="Y30" s="2" t="n">
        <f aca="false">+E30</f>
        <v>0</v>
      </c>
      <c r="Z30" s="338" t="n">
        <f aca="false">((+Y30*16)*V30)*AB30</f>
        <v>0</v>
      </c>
      <c r="AA30" s="359" t="n">
        <f aca="false">[2]Interest!Y22</f>
        <v>0.0258617324037105</v>
      </c>
      <c r="AB30" s="339" t="n">
        <f aca="false">1/(1+AA30/12)^(12*('[3]Term Sheet'!B20-'[3]Term Sheet'!$A$2)/365.25)</f>
        <v>0.969632633248799</v>
      </c>
      <c r="AC30" s="331" t="n">
        <f aca="false">+X30+Z30</f>
        <v>-119458.740416252</v>
      </c>
    </row>
    <row r="31" customFormat="false" ht="9" hidden="false" customHeight="false" outlineLevel="0" collapsed="false">
      <c r="B31" s="344" t="s">
        <v>131</v>
      </c>
      <c r="C31" s="62" t="n">
        <v>20</v>
      </c>
      <c r="D31" s="292" t="n">
        <v>-50</v>
      </c>
      <c r="H31" s="331" t="n">
        <f aca="false">+AC31</f>
        <v>-15468.8415975083</v>
      </c>
      <c r="U31" s="344" t="s">
        <v>131</v>
      </c>
      <c r="V31" s="62" t="n">
        <v>20</v>
      </c>
      <c r="W31" s="2" t="n">
        <f aca="false">+D31</f>
        <v>-50</v>
      </c>
      <c r="X31" s="337" t="n">
        <f aca="false">((+W31*16)*V31)*AB31</f>
        <v>-15468.8415975083</v>
      </c>
      <c r="Y31" s="2" t="n">
        <f aca="false">+E31</f>
        <v>0</v>
      </c>
      <c r="Z31" s="338" t="n">
        <f aca="false">((+Y31*16)*V31)*AB31</f>
        <v>0</v>
      </c>
      <c r="AA31" s="359" t="n">
        <f aca="false">[2]Interest!Y23</f>
        <v>0.0264341768598606</v>
      </c>
      <c r="AB31" s="339" t="n">
        <f aca="false">1/(1+AA31/12)^(12*('[3]Term Sheet'!B21-'[3]Term Sheet'!$A$2)/365.25)</f>
        <v>0.966802599844266</v>
      </c>
      <c r="AC31" s="331" t="n">
        <f aca="false">+X31+Z31</f>
        <v>-15468.8415975083</v>
      </c>
    </row>
    <row r="32" customFormat="false" ht="9" hidden="false" customHeight="false" outlineLevel="0" collapsed="false">
      <c r="B32" s="344" t="s">
        <v>114</v>
      </c>
      <c r="C32" s="62" t="n">
        <v>23</v>
      </c>
      <c r="D32" s="292" t="n">
        <v>-200</v>
      </c>
      <c r="H32" s="331" t="n">
        <f aca="false">+AC32</f>
        <v>-70940.9862902449</v>
      </c>
      <c r="J32" s="1" t="s">
        <v>132</v>
      </c>
      <c r="K32" s="284" t="n">
        <f aca="false">(((+L20+L24)*K20)/10000)</f>
        <v>30</v>
      </c>
      <c r="U32" s="344" t="s">
        <v>114</v>
      </c>
      <c r="V32" s="62" t="n">
        <v>23</v>
      </c>
      <c r="W32" s="2" t="n">
        <f aca="false">+D32</f>
        <v>-200</v>
      </c>
      <c r="X32" s="337" t="n">
        <f aca="false">((+W32*16)*V32)*AB32</f>
        <v>-70940.9862902449</v>
      </c>
      <c r="Y32" s="2" t="n">
        <f aca="false">+E32</f>
        <v>0</v>
      </c>
      <c r="Z32" s="338" t="n">
        <f aca="false">((+Y32*16)*V32)*AB32</f>
        <v>0</v>
      </c>
      <c r="AA32" s="359" t="n">
        <f aca="false">[2]Interest!Y24</f>
        <v>0.0270727161807831</v>
      </c>
      <c r="AB32" s="339" t="n">
        <f aca="false">1/(1+AA32/12)^(12*('[3]Term Sheet'!B22-'[3]Term Sheet'!$A$2)/365.25)</f>
        <v>0.96387209633485</v>
      </c>
      <c r="AC32" s="331" t="n">
        <f aca="false">+X32+Z32</f>
        <v>-70940.9862902449</v>
      </c>
    </row>
    <row r="33" customFormat="false" ht="9" hidden="false" customHeight="false" outlineLevel="0" collapsed="false">
      <c r="B33" s="344" t="s">
        <v>115</v>
      </c>
      <c r="C33" s="62" t="n">
        <v>20</v>
      </c>
      <c r="D33" s="292" t="n">
        <v>-200</v>
      </c>
      <c r="H33" s="331" t="n">
        <f aca="false">+AC33</f>
        <v>-61495.2174944241</v>
      </c>
      <c r="J33" s="1" t="s">
        <v>133</v>
      </c>
      <c r="K33" s="284" t="n">
        <f aca="false">(((+L21+L24)*K21)/10000)</f>
        <v>31</v>
      </c>
      <c r="U33" s="344" t="s">
        <v>115</v>
      </c>
      <c r="V33" s="62" t="n">
        <v>20</v>
      </c>
      <c r="W33" s="2" t="n">
        <f aca="false">+D33</f>
        <v>-200</v>
      </c>
      <c r="X33" s="337" t="n">
        <f aca="false">((+W33*16)*V33)*AB33</f>
        <v>-61495.2174944241</v>
      </c>
      <c r="Y33" s="2" t="n">
        <f aca="false">+E33</f>
        <v>0</v>
      </c>
      <c r="Z33" s="338" t="n">
        <f aca="false">((+Y33*16)*V33)*AB33</f>
        <v>0</v>
      </c>
      <c r="AA33" s="359" t="n">
        <f aca="false">[2]Interest!Y25</f>
        <v>0.02764946149221</v>
      </c>
      <c r="AB33" s="339" t="n">
        <f aca="false">1/(1+AA33/12)^(12*('[3]Term Sheet'!B23-'[3]Term Sheet'!$A$2)/365.25)</f>
        <v>0.960862773350376</v>
      </c>
      <c r="AC33" s="331" t="n">
        <f aca="false">+X33+Z33</f>
        <v>-61495.2174944241</v>
      </c>
    </row>
    <row r="34" customFormat="false" ht="9.75" hidden="false" customHeight="false" outlineLevel="0" collapsed="false">
      <c r="B34" s="360" t="s">
        <v>134</v>
      </c>
      <c r="C34" s="361" t="n">
        <v>21</v>
      </c>
      <c r="D34" s="365" t="n">
        <v>-200</v>
      </c>
      <c r="E34" s="342"/>
      <c r="F34" s="342"/>
      <c r="G34" s="342"/>
      <c r="H34" s="343" t="n">
        <f aca="false">+AC34</f>
        <v>-64361.3007293619</v>
      </c>
      <c r="J34" s="1" t="s">
        <v>135</v>
      </c>
      <c r="K34" s="284" t="n">
        <f aca="false">(((+L22+L24+L26)*K22)/10000)</f>
        <v>170.5</v>
      </c>
      <c r="U34" s="360" t="s">
        <v>134</v>
      </c>
      <c r="V34" s="361" t="n">
        <v>21</v>
      </c>
      <c r="W34" s="342" t="n">
        <f aca="false">+D34</f>
        <v>-200</v>
      </c>
      <c r="X34" s="347" t="n">
        <f aca="false">((+W34*16)*V34)*AB34</f>
        <v>-64361.3007293619</v>
      </c>
      <c r="Y34" s="342" t="n">
        <f aca="false">+E34</f>
        <v>0</v>
      </c>
      <c r="Z34" s="348" t="n">
        <f aca="false">((+Y34*16)*V34)*AB34</f>
        <v>0</v>
      </c>
      <c r="AA34" s="366" t="n">
        <f aca="false">[2]Interest!Y26</f>
        <v>0.0282849875672793</v>
      </c>
      <c r="AB34" s="349" t="n">
        <f aca="false">1/(1+AA34/12)^(12*('[3]Term Sheet'!B24-'[3]Term Sheet'!$A$2)/365.25)</f>
        <v>0.957757451329791</v>
      </c>
      <c r="AC34" s="343" t="n">
        <f aca="false">+X34+Z34</f>
        <v>-64361.3007293619</v>
      </c>
    </row>
    <row r="35" customFormat="false" ht="9" hidden="false" customHeight="false" outlineLevel="0" collapsed="false">
      <c r="C35" s="284" t="n">
        <f aca="false">SUM(C23:C34)</f>
        <v>255</v>
      </c>
      <c r="D35" s="1"/>
      <c r="E35" s="283"/>
      <c r="H35" s="61" t="n">
        <f aca="false">SUM(H23:H34)</f>
        <v>-1112852.3269261</v>
      </c>
      <c r="J35" s="1" t="s">
        <v>136</v>
      </c>
      <c r="K35" s="284" t="n">
        <f aca="false">(((+L23+L24+L26)*K23)/10000)</f>
        <v>98</v>
      </c>
      <c r="V35" s="284" t="n">
        <f aca="false">SUM(V23:V34)</f>
        <v>255</v>
      </c>
      <c r="X35" s="283" t="n">
        <f aca="false">SUM(X23:X34)</f>
        <v>-1112852.3269261</v>
      </c>
      <c r="Y35" s="2"/>
      <c r="Z35" s="283" t="n">
        <f aca="false">SUM(Z23:Z34)</f>
        <v>0</v>
      </c>
      <c r="AA35" s="2"/>
      <c r="AB35" s="2"/>
      <c r="AC35" s="61" t="n">
        <f aca="false">SUM(AC23:AC34)</f>
        <v>-1112852.3269261</v>
      </c>
    </row>
    <row r="36" customFormat="false" ht="9" hidden="false" customHeight="false" outlineLevel="0" collapsed="false">
      <c r="C36" s="284"/>
      <c r="D36" s="1"/>
      <c r="E36" s="1"/>
      <c r="H36" s="61"/>
      <c r="J36" s="1" t="s">
        <v>137</v>
      </c>
      <c r="K36" s="284" t="n">
        <f aca="false">(((+L24+L26)*31)/10000)</f>
        <v>108.5</v>
      </c>
      <c r="V36" s="284"/>
      <c r="Y36" s="2"/>
      <c r="Z36" s="2"/>
      <c r="AA36" s="2"/>
      <c r="AB36" s="2"/>
      <c r="AC36" s="61"/>
    </row>
    <row r="37" customFormat="false" ht="9.75" hidden="false" customHeight="false" outlineLevel="0" collapsed="false">
      <c r="B37" s="352" t="n">
        <v>2003</v>
      </c>
      <c r="C37" s="61"/>
      <c r="D37" s="350"/>
      <c r="H37" s="61"/>
      <c r="J37" s="1" t="s">
        <v>138</v>
      </c>
      <c r="K37" s="284" t="n">
        <f aca="false">(((+L25+L26)*30)/10000)</f>
        <v>90</v>
      </c>
      <c r="U37" s="352" t="n">
        <v>2003</v>
      </c>
      <c r="V37" s="61"/>
      <c r="W37" s="350"/>
      <c r="X37" s="2"/>
      <c r="Y37" s="2"/>
      <c r="Z37" s="2"/>
      <c r="AA37" s="2"/>
      <c r="AB37" s="2"/>
      <c r="AC37" s="61"/>
    </row>
    <row r="38" customFormat="false" ht="9.75" hidden="false" customHeight="false" outlineLevel="0" collapsed="false">
      <c r="B38" s="355" t="s">
        <v>120</v>
      </c>
      <c r="C38" s="333" t="n">
        <v>22</v>
      </c>
      <c r="D38" s="356"/>
      <c r="E38" s="319"/>
      <c r="F38" s="319"/>
      <c r="G38" s="319"/>
      <c r="H38" s="320" t="n">
        <f aca="false">+AC38</f>
        <v>0</v>
      </c>
      <c r="J38" s="1" t="s">
        <v>139</v>
      </c>
      <c r="K38" s="284" t="n">
        <f aca="false">(((+$L$25+$L$26)*30)/10000)</f>
        <v>90</v>
      </c>
      <c r="U38" s="355" t="s">
        <v>120</v>
      </c>
      <c r="V38" s="333" t="n">
        <v>22</v>
      </c>
      <c r="W38" s="319" t="n">
        <f aca="false">+D38</f>
        <v>0</v>
      </c>
      <c r="X38" s="326" t="n">
        <f aca="false">((+W38*16)*V38)*AB38</f>
        <v>0</v>
      </c>
      <c r="Y38" s="319" t="n">
        <f aca="false">+E39</f>
        <v>0</v>
      </c>
      <c r="Z38" s="327" t="n">
        <f aca="false">((+Y38*16)*V38)*AB38</f>
        <v>0</v>
      </c>
      <c r="AA38" s="357" t="n">
        <f aca="false">+AA57</f>
        <v>0.0288879255734806</v>
      </c>
      <c r="AB38" s="328" t="n">
        <f aca="false">+AB57</f>
        <v>0.954537340119991</v>
      </c>
      <c r="AC38" s="320" t="n">
        <f aca="false">+X38+Z38</f>
        <v>0</v>
      </c>
    </row>
    <row r="39" customFormat="false" ht="9.75" hidden="false" customHeight="false" outlineLevel="0" collapsed="false">
      <c r="B39" s="344" t="s">
        <v>122</v>
      </c>
      <c r="C39" s="62" t="n">
        <v>20</v>
      </c>
      <c r="D39" s="292"/>
      <c r="H39" s="331" t="n">
        <f aca="false">+AC39</f>
        <v>0</v>
      </c>
      <c r="J39" s="1" t="s">
        <v>140</v>
      </c>
      <c r="K39" s="284" t="n">
        <f aca="false">(((+$L$25+$L$26)*30)/10000)</f>
        <v>90</v>
      </c>
      <c r="U39" s="344" t="s">
        <v>122</v>
      </c>
      <c r="V39" s="62" t="n">
        <v>20</v>
      </c>
      <c r="W39" s="2" t="n">
        <f aca="false">+D39</f>
        <v>0</v>
      </c>
      <c r="X39" s="337" t="n">
        <f aca="false">((+W39*16)*V39)*AB39</f>
        <v>0</v>
      </c>
      <c r="Y39" s="2" t="n">
        <f aca="false">+E40</f>
        <v>0</v>
      </c>
      <c r="Z39" s="338" t="n">
        <f aca="false">((+Y39*16)*V39)*AB39</f>
        <v>0</v>
      </c>
      <c r="AA39" s="357" t="n">
        <f aca="false">+AA58</f>
        <v>0.029510961642063</v>
      </c>
      <c r="AB39" s="328" t="n">
        <f aca="false">+AB58</f>
        <v>0.951198603168997</v>
      </c>
      <c r="AC39" s="331" t="n">
        <f aca="false">+X39+Z39</f>
        <v>0</v>
      </c>
    </row>
    <row r="40" customFormat="false" ht="9.75" hidden="false" customHeight="false" outlineLevel="0" collapsed="false">
      <c r="B40" s="344" t="s">
        <v>124</v>
      </c>
      <c r="C40" s="62" t="n">
        <v>21</v>
      </c>
      <c r="D40" s="292" t="n">
        <v>-100</v>
      </c>
      <c r="H40" s="331" t="n">
        <f aca="false">+AC40</f>
        <v>-31854.1488871944</v>
      </c>
      <c r="J40" s="1" t="s">
        <v>141</v>
      </c>
      <c r="K40" s="284" t="n">
        <f aca="false">(((+$L$25+$L$26)*31)/10000)</f>
        <v>93</v>
      </c>
      <c r="U40" s="344" t="s">
        <v>124</v>
      </c>
      <c r="V40" s="62" t="n">
        <v>21</v>
      </c>
      <c r="W40" s="2" t="n">
        <f aca="false">+D40</f>
        <v>-100</v>
      </c>
      <c r="X40" s="337" t="n">
        <f aca="false">((+W40*16)*V40)*AB40</f>
        <v>-31854.1488871944</v>
      </c>
      <c r="Y40" s="2" t="n">
        <f aca="false">+E41</f>
        <v>0</v>
      </c>
      <c r="Z40" s="338" t="n">
        <f aca="false">((+Y40*16)*V40)*AB40</f>
        <v>0</v>
      </c>
      <c r="AA40" s="357" t="n">
        <f aca="false">+AA59</f>
        <v>0.0301135958069252</v>
      </c>
      <c r="AB40" s="328" t="n">
        <f aca="false">+AB59</f>
        <v>0.948040145452213</v>
      </c>
      <c r="AC40" s="331" t="n">
        <f aca="false">+X40+Z40</f>
        <v>-31854.1488871944</v>
      </c>
    </row>
    <row r="41" customFormat="false" ht="9.75" hidden="false" customHeight="false" outlineLevel="0" collapsed="false">
      <c r="B41" s="344" t="s">
        <v>126</v>
      </c>
      <c r="C41" s="62" t="n">
        <v>22</v>
      </c>
      <c r="D41" s="292" t="n">
        <v>-100</v>
      </c>
      <c r="H41" s="331" t="n">
        <f aca="false">+AC41</f>
        <v>-33247.5502850214</v>
      </c>
      <c r="J41" s="1" t="s">
        <v>142</v>
      </c>
      <c r="K41" s="284" t="n">
        <f aca="false">(((+$L$25+$L$26)*30)/10000)</f>
        <v>90</v>
      </c>
      <c r="U41" s="344" t="s">
        <v>126</v>
      </c>
      <c r="V41" s="62" t="n">
        <v>22</v>
      </c>
      <c r="W41" s="2" t="n">
        <f aca="false">+D41</f>
        <v>-100</v>
      </c>
      <c r="X41" s="337" t="n">
        <f aca="false">((+W41*16)*V41)*AB41</f>
        <v>-33247.5502850214</v>
      </c>
      <c r="Y41" s="2" t="n">
        <f aca="false">+E42</f>
        <v>0</v>
      </c>
      <c r="Z41" s="338" t="n">
        <f aca="false">((+Y41*16)*V41)*AB41</f>
        <v>0</v>
      </c>
      <c r="AA41" s="357" t="n">
        <f aca="false">+AA60</f>
        <v>0.0307358916824705</v>
      </c>
      <c r="AB41" s="328" t="n">
        <f aca="false">+AB60</f>
        <v>0.944532678551744</v>
      </c>
      <c r="AC41" s="331" t="n">
        <f aca="false">+X41+Z41</f>
        <v>-33247.5502850214</v>
      </c>
    </row>
    <row r="42" customFormat="false" ht="9.75" hidden="false" customHeight="false" outlineLevel="0" collapsed="false">
      <c r="B42" s="344" t="s">
        <v>127</v>
      </c>
      <c r="C42" s="62" t="n">
        <v>21</v>
      </c>
      <c r="D42" s="292" t="n">
        <v>-100</v>
      </c>
      <c r="H42" s="331" t="n">
        <f aca="false">+AC42</f>
        <v>-31618.2646229894</v>
      </c>
      <c r="J42" s="1" t="s">
        <v>143</v>
      </c>
      <c r="K42" s="284" t="n">
        <f aca="false">(((+$L$25+$L$26)*30)/10000)</f>
        <v>90</v>
      </c>
      <c r="U42" s="344" t="s">
        <v>127</v>
      </c>
      <c r="V42" s="62" t="n">
        <v>21</v>
      </c>
      <c r="W42" s="2" t="n">
        <f aca="false">+D42</f>
        <v>-100</v>
      </c>
      <c r="X42" s="337" t="n">
        <f aca="false">((+W42*16)*V42)*AB42</f>
        <v>-31618.2646229894</v>
      </c>
      <c r="Y42" s="2" t="n">
        <f aca="false">+E43</f>
        <v>0</v>
      </c>
      <c r="Z42" s="338" t="n">
        <f aca="false">((+Y42*16)*V42)*AB42</f>
        <v>0</v>
      </c>
      <c r="AA42" s="357" t="n">
        <f aca="false">+AA61</f>
        <v>0.0313581876885398</v>
      </c>
      <c r="AB42" s="328" t="n">
        <f aca="false">+AB61</f>
        <v>0.941019780446112</v>
      </c>
      <c r="AC42" s="331" t="n">
        <f aca="false">+X42+Z42</f>
        <v>-31618.2646229894</v>
      </c>
    </row>
    <row r="43" customFormat="false" ht="9.75" hidden="false" customHeight="false" outlineLevel="0" collapsed="false">
      <c r="B43" s="344" t="s">
        <v>128</v>
      </c>
      <c r="C43" s="62" t="n">
        <v>21</v>
      </c>
      <c r="D43" s="292" t="n">
        <v>-250</v>
      </c>
      <c r="H43" s="331" t="n">
        <f aca="false">+AC43</f>
        <v>-78741.3757349434</v>
      </c>
      <c r="J43" s="1" t="s">
        <v>144</v>
      </c>
      <c r="K43" s="284" t="n">
        <f aca="false">(((+$L$25+$L$26)*31)/10000)</f>
        <v>93</v>
      </c>
      <c r="U43" s="344" t="s">
        <v>128</v>
      </c>
      <c r="V43" s="62" t="n">
        <v>21</v>
      </c>
      <c r="W43" s="2" t="n">
        <f aca="false">+D43</f>
        <v>-250</v>
      </c>
      <c r="X43" s="337" t="n">
        <f aca="false">((+W43*16)*V43)*AB43</f>
        <v>-78741.3757349434</v>
      </c>
      <c r="Y43" s="2" t="n">
        <f aca="false">+E44</f>
        <v>0</v>
      </c>
      <c r="Z43" s="338" t="n">
        <f aca="false">((+Y43*16)*V43)*AB43</f>
        <v>0</v>
      </c>
      <c r="AA43" s="357" t="n">
        <f aca="false">+AA62</f>
        <v>0.0319515123756289</v>
      </c>
      <c r="AB43" s="328" t="n">
        <f aca="false">+AB62</f>
        <v>0.937397330177898</v>
      </c>
      <c r="AC43" s="331" t="n">
        <f aca="false">+X43+Z43</f>
        <v>-78741.3757349434</v>
      </c>
    </row>
    <row r="44" customFormat="false" ht="9.75" hidden="false" customHeight="false" outlineLevel="0" collapsed="false">
      <c r="B44" s="344" t="s">
        <v>129</v>
      </c>
      <c r="C44" s="62" t="n">
        <v>22</v>
      </c>
      <c r="D44" s="292" t="n">
        <v>-150</v>
      </c>
      <c r="H44" s="331" t="n">
        <f aca="false">+AC44</f>
        <v>-49302.5919288828</v>
      </c>
      <c r="J44" s="1" t="s">
        <v>132</v>
      </c>
      <c r="K44" s="284" t="n">
        <f aca="false">(($L$26*30)/10000)</f>
        <v>75</v>
      </c>
      <c r="U44" s="344" t="s">
        <v>129</v>
      </c>
      <c r="V44" s="62" t="n">
        <v>22</v>
      </c>
      <c r="W44" s="2" t="n">
        <f aca="false">+D44</f>
        <v>-150</v>
      </c>
      <c r="X44" s="337" t="n">
        <f aca="false">((+W44*16)*V44)*AB44</f>
        <v>-49302.5919288828</v>
      </c>
      <c r="Y44" s="2" t="n">
        <f aca="false">+E45</f>
        <v>0</v>
      </c>
      <c r="Z44" s="338" t="n">
        <f aca="false">((+Y44*16)*V44)*AB44</f>
        <v>0</v>
      </c>
      <c r="AA44" s="357" t="n">
        <f aca="false">+AA63</f>
        <v>0.0325534775320624</v>
      </c>
      <c r="AB44" s="328" t="n">
        <f aca="false">+AB63</f>
        <v>0.933761210774295</v>
      </c>
      <c r="AC44" s="331" t="n">
        <f aca="false">+X44+Z44</f>
        <v>-49302.5919288828</v>
      </c>
    </row>
    <row r="45" customFormat="false" ht="9.75" hidden="false" customHeight="false" outlineLevel="0" collapsed="false">
      <c r="B45" s="344" t="s">
        <v>130</v>
      </c>
      <c r="C45" s="62" t="n">
        <v>21</v>
      </c>
      <c r="D45" s="292" t="n">
        <v>-150</v>
      </c>
      <c r="H45" s="331" t="n">
        <f aca="false">+AC45</f>
        <v>-46872.1370773844</v>
      </c>
      <c r="J45" s="1" t="s">
        <v>133</v>
      </c>
      <c r="K45" s="284" t="n">
        <f aca="false">(($L$26*31)/10000)</f>
        <v>77.5</v>
      </c>
      <c r="U45" s="344" t="s">
        <v>130</v>
      </c>
      <c r="V45" s="62" t="n">
        <v>21</v>
      </c>
      <c r="W45" s="2" t="n">
        <f aca="false">+D45</f>
        <v>-150</v>
      </c>
      <c r="X45" s="337" t="n">
        <f aca="false">((+W45*16)*V45)*AB45</f>
        <v>-46872.1370773844</v>
      </c>
      <c r="Y45" s="2" t="n">
        <f aca="false">+E46</f>
        <v>0</v>
      </c>
      <c r="Z45" s="338" t="n">
        <f aca="false">((+Y45*16)*V45)*AB45</f>
        <v>0</v>
      </c>
      <c r="AA45" s="357" t="n">
        <f aca="false">+AA64</f>
        <v>0.0331360245738281</v>
      </c>
      <c r="AB45" s="328" t="n">
        <f aca="false">+AB64</f>
        <v>0.930002719789374</v>
      </c>
      <c r="AC45" s="331" t="n">
        <f aca="false">+X45+Z45</f>
        <v>-46872.1370773844</v>
      </c>
    </row>
    <row r="46" customFormat="false" ht="9.75" hidden="false" customHeight="false" outlineLevel="0" collapsed="false">
      <c r="B46" s="344" t="s">
        <v>131</v>
      </c>
      <c r="C46" s="62" t="n">
        <v>21</v>
      </c>
      <c r="D46" s="292" t="n">
        <v>100</v>
      </c>
      <c r="H46" s="331" t="n">
        <f aca="false">+AC46</f>
        <v>31118.3707188461</v>
      </c>
      <c r="U46" s="344" t="s">
        <v>131</v>
      </c>
      <c r="V46" s="62" t="n">
        <v>21</v>
      </c>
      <c r="W46" s="2" t="n">
        <f aca="false">+D46</f>
        <v>100</v>
      </c>
      <c r="X46" s="337" t="n">
        <f aca="false">((+W46*16)*V46)*AB46</f>
        <v>31118.3707188461</v>
      </c>
      <c r="Y46" s="2" t="n">
        <f aca="false">+E47</f>
        <v>0</v>
      </c>
      <c r="Z46" s="338" t="n">
        <f aca="false">((+Y46*16)*V46)*AB46</f>
        <v>0</v>
      </c>
      <c r="AA46" s="357" t="n">
        <f aca="false">+AA65</f>
        <v>0.033730973989627</v>
      </c>
      <c r="AB46" s="328" t="n">
        <f aca="false">+AB65</f>
        <v>0.926141985679945</v>
      </c>
      <c r="AC46" s="331" t="n">
        <f aca="false">+X46+Z46</f>
        <v>31118.3707188461</v>
      </c>
    </row>
    <row r="47" customFormat="false" ht="9.75" hidden="false" customHeight="false" outlineLevel="0" collapsed="false">
      <c r="B47" s="344" t="s">
        <v>114</v>
      </c>
      <c r="C47" s="62" t="n">
        <v>23</v>
      </c>
      <c r="D47" s="292" t="n">
        <v>-50</v>
      </c>
      <c r="H47" s="331" t="n">
        <f aca="false">+AC47</f>
        <v>-16970.4534689277</v>
      </c>
      <c r="U47" s="344" t="s">
        <v>114</v>
      </c>
      <c r="V47" s="62" t="n">
        <v>23</v>
      </c>
      <c r="W47" s="2" t="n">
        <f aca="false">+D47</f>
        <v>-50</v>
      </c>
      <c r="X47" s="337" t="n">
        <f aca="false">((+W47*16)*V47)*AB47</f>
        <v>-16970.4534689277</v>
      </c>
      <c r="Y47" s="2" t="n">
        <f aca="false">+E48</f>
        <v>0</v>
      </c>
      <c r="Z47" s="338" t="n">
        <f aca="false">((+Y47*16)*V47)*AB47</f>
        <v>0</v>
      </c>
      <c r="AA47" s="357" t="n">
        <f aca="false">+AA66</f>
        <v>0.0343184398103125</v>
      </c>
      <c r="AB47" s="328" t="n">
        <f aca="false">+AB66</f>
        <v>0.922307253746071</v>
      </c>
      <c r="AC47" s="331" t="n">
        <f aca="false">+X47+Z47</f>
        <v>-16970.4534689277</v>
      </c>
    </row>
    <row r="48" customFormat="false" ht="9.75" hidden="false" customHeight="false" outlineLevel="0" collapsed="false">
      <c r="B48" s="344" t="s">
        <v>115</v>
      </c>
      <c r="C48" s="62" t="n">
        <v>19</v>
      </c>
      <c r="D48" s="292" t="n">
        <v>-50</v>
      </c>
      <c r="H48" s="331" t="n">
        <f aca="false">+AC48</f>
        <v>-13959.6388940026</v>
      </c>
      <c r="U48" s="344" t="s">
        <v>115</v>
      </c>
      <c r="V48" s="62" t="n">
        <v>19</v>
      </c>
      <c r="W48" s="2" t="n">
        <f aca="false">+D48</f>
        <v>-50</v>
      </c>
      <c r="X48" s="337" t="n">
        <f aca="false">((+W48*16)*V48)*AB48</f>
        <v>-13959.6388940026</v>
      </c>
      <c r="Y48" s="2" t="n">
        <f aca="false">+E49</f>
        <v>0</v>
      </c>
      <c r="Z48" s="338" t="n">
        <f aca="false">((+Y48*16)*V48)*AB48</f>
        <v>0</v>
      </c>
      <c r="AA48" s="357" t="n">
        <f aca="false">+AA67</f>
        <v>0.0348680047154315</v>
      </c>
      <c r="AB48" s="328" t="n">
        <f aca="false">+AB67</f>
        <v>0.918397295658067</v>
      </c>
      <c r="AC48" s="331" t="n">
        <f aca="false">+X48+Z48</f>
        <v>-13959.6388940026</v>
      </c>
    </row>
    <row r="49" customFormat="false" ht="9.75" hidden="false" customHeight="false" outlineLevel="0" collapsed="false">
      <c r="B49" s="360" t="s">
        <v>134</v>
      </c>
      <c r="C49" s="361" t="n">
        <v>22</v>
      </c>
      <c r="D49" s="365" t="n">
        <v>-50</v>
      </c>
      <c r="E49" s="342"/>
      <c r="F49" s="342"/>
      <c r="G49" s="342"/>
      <c r="H49" s="343" t="n">
        <f aca="false">+AC49</f>
        <v>-16095.1736496753</v>
      </c>
      <c r="U49" s="360" t="s">
        <v>134</v>
      </c>
      <c r="V49" s="361" t="n">
        <v>22</v>
      </c>
      <c r="W49" s="342" t="n">
        <f aca="false">+D49</f>
        <v>-50</v>
      </c>
      <c r="X49" s="347" t="n">
        <f aca="false">((+W49*16)*V49)*AB49</f>
        <v>-16095.1736496753</v>
      </c>
      <c r="Y49" s="342" t="n">
        <f aca="false">+E50</f>
        <v>0</v>
      </c>
      <c r="Z49" s="348" t="n">
        <f aca="false">((+Y49*16)*V49)*AB49</f>
        <v>0</v>
      </c>
      <c r="AA49" s="367" t="n">
        <f aca="false">+AA68</f>
        <v>0.0354214535497652</v>
      </c>
      <c r="AB49" s="368" t="n">
        <f aca="false">+AB68</f>
        <v>0.91449850282246</v>
      </c>
      <c r="AC49" s="343" t="n">
        <f aca="false">+X49+Z49</f>
        <v>-16095.1736496753</v>
      </c>
    </row>
    <row r="50" customFormat="false" ht="9" hidden="false" customHeight="false" outlineLevel="0" collapsed="false">
      <c r="C50" s="284" t="n">
        <f aca="false">SUM(C38:C49)</f>
        <v>255</v>
      </c>
      <c r="D50" s="1"/>
      <c r="E50" s="283"/>
      <c r="H50" s="61" t="n">
        <f aca="false">SUM(H38:H49)</f>
        <v>-287542.963830175</v>
      </c>
      <c r="V50" s="284" t="n">
        <f aca="false">SUM(V38:V49)</f>
        <v>255</v>
      </c>
      <c r="X50" s="283" t="n">
        <f aca="false">SUM(X38:X49)</f>
        <v>-287542.963830175</v>
      </c>
      <c r="Y50" s="2"/>
      <c r="Z50" s="283" t="n">
        <f aca="false">SUM(Z38:Z49)</f>
        <v>0</v>
      </c>
      <c r="AA50" s="2"/>
      <c r="AB50" s="2"/>
      <c r="AC50" s="61" t="n">
        <f aca="false">SUM(AC38:AC49)</f>
        <v>-287542.963830175</v>
      </c>
    </row>
    <row r="51" customFormat="false" ht="9.75" hidden="false" customHeight="false" outlineLevel="0" collapsed="false">
      <c r="C51" s="284"/>
      <c r="D51" s="1"/>
      <c r="E51" s="1"/>
      <c r="H51" s="61"/>
    </row>
    <row r="52" customFormat="false" ht="9.75" hidden="false" customHeight="false" outlineLevel="0" collapsed="false">
      <c r="B52" s="369" t="s">
        <v>94</v>
      </c>
      <c r="C52" s="370" t="n">
        <v>257</v>
      </c>
      <c r="D52" s="371" t="n">
        <v>-150</v>
      </c>
      <c r="E52" s="370"/>
      <c r="F52" s="319"/>
      <c r="G52" s="319"/>
      <c r="H52" s="320" t="n">
        <f aca="false">+AC54</f>
        <v>-555120</v>
      </c>
      <c r="V52" s="284"/>
      <c r="Y52" s="2"/>
      <c r="Z52" s="2"/>
      <c r="AA52" s="2"/>
      <c r="AB52" s="2"/>
      <c r="AC52" s="61"/>
    </row>
    <row r="53" customFormat="false" ht="9.75" hidden="false" customHeight="false" outlineLevel="0" collapsed="false">
      <c r="B53" s="372" t="s">
        <v>95</v>
      </c>
      <c r="C53" s="361" t="n">
        <v>255</v>
      </c>
      <c r="D53" s="373" t="n">
        <v>-100</v>
      </c>
      <c r="E53" s="361"/>
      <c r="F53" s="342"/>
      <c r="G53" s="342"/>
      <c r="H53" s="343" t="n">
        <f aca="false">+AC55</f>
        <v>-342720</v>
      </c>
      <c r="U53" s="369"/>
      <c r="V53" s="370"/>
      <c r="W53" s="319"/>
      <c r="X53" s="326"/>
      <c r="Y53" s="319"/>
      <c r="Z53" s="327"/>
      <c r="AA53" s="374"/>
      <c r="AB53" s="374"/>
      <c r="AC53" s="320"/>
    </row>
    <row r="54" customFormat="false" ht="9" hidden="false" customHeight="false" outlineLevel="0" collapsed="false">
      <c r="C54" s="1"/>
      <c r="D54" s="1"/>
      <c r="E54" s="1"/>
      <c r="G54" s="375"/>
      <c r="H54" s="61" t="n">
        <f aca="false">SUM(H52:H53)</f>
        <v>-897840</v>
      </c>
      <c r="U54" s="376" t="s">
        <v>94</v>
      </c>
      <c r="V54" s="62" t="n">
        <v>257</v>
      </c>
      <c r="W54" s="2" t="n">
        <f aca="false">+D52</f>
        <v>-150</v>
      </c>
      <c r="X54" s="337" t="n">
        <f aca="false">((+W54*16)*V54)*AB54</f>
        <v>-555120</v>
      </c>
      <c r="Y54" s="2" t="n">
        <f aca="false">+E52</f>
        <v>0</v>
      </c>
      <c r="Z54" s="338" t="n">
        <f aca="false">((+Y54*16)*V54)*AB54</f>
        <v>0</v>
      </c>
      <c r="AA54" s="377" t="n">
        <f aca="false">+AA86</f>
        <v>0.0384744902158107</v>
      </c>
      <c r="AB54" s="377" t="n">
        <v>0.9</v>
      </c>
      <c r="AC54" s="331" t="n">
        <f aca="false">+X54+Z54</f>
        <v>-555120</v>
      </c>
    </row>
    <row r="55" customFormat="false" ht="9.75" hidden="false" customHeight="false" outlineLevel="0" collapsed="false">
      <c r="U55" s="372" t="s">
        <v>95</v>
      </c>
      <c r="V55" s="361" t="n">
        <v>255</v>
      </c>
      <c r="W55" s="342" t="n">
        <f aca="false">+D53</f>
        <v>-100</v>
      </c>
      <c r="X55" s="347" t="n">
        <f aca="false">((+W55*16)*V55)*AB55</f>
        <v>-342720</v>
      </c>
      <c r="Y55" s="342" t="n">
        <f aca="false">+E53</f>
        <v>0</v>
      </c>
      <c r="Z55" s="348" t="n">
        <f aca="false">((+Y55*16)*V55)*AB55</f>
        <v>0</v>
      </c>
      <c r="AA55" s="378" t="n">
        <f aca="false">+AA101</f>
        <v>0.0430708887162529</v>
      </c>
      <c r="AB55" s="378" t="n">
        <v>0.84</v>
      </c>
      <c r="AC55" s="343" t="n">
        <f aca="false">+X55+Z55</f>
        <v>-342720</v>
      </c>
    </row>
    <row r="56" customFormat="false" ht="9.75" hidden="false" customHeight="false" outlineLevel="0" collapsed="false">
      <c r="B56" s="321" t="s">
        <v>145</v>
      </c>
      <c r="C56" s="379" t="n">
        <v>4680</v>
      </c>
      <c r="D56" s="380"/>
      <c r="E56" s="381"/>
      <c r="F56" s="377" t="n">
        <f aca="false">+N26</f>
        <v>0.0254198204022103</v>
      </c>
      <c r="G56" s="377" t="n">
        <f aca="false">+O26</f>
        <v>0.972826489506083</v>
      </c>
      <c r="H56" s="324" t="n">
        <f aca="false">+E56*G56</f>
        <v>0</v>
      </c>
    </row>
    <row r="57" customFormat="false" ht="9.75" hidden="false" customHeight="false" outlineLevel="0" collapsed="false">
      <c r="B57" s="321" t="s">
        <v>146</v>
      </c>
      <c r="C57" s="379" t="n">
        <v>4680</v>
      </c>
      <c r="D57" s="380" t="n">
        <v>-50</v>
      </c>
      <c r="E57" s="381" t="n">
        <v>-234000</v>
      </c>
      <c r="F57" s="377" t="n">
        <f aca="false">+N27</f>
        <v>0.0322155374116779</v>
      </c>
      <c r="G57" s="377" t="n">
        <f aca="false">+O27</f>
        <v>0.935152903865597</v>
      </c>
      <c r="H57" s="324" t="n">
        <f aca="false">+E57*G57</f>
        <v>-218825.77950455</v>
      </c>
      <c r="U57" s="382"/>
      <c r="V57" s="370"/>
      <c r="W57" s="370"/>
      <c r="X57" s="370"/>
      <c r="Y57" s="370" t="s">
        <v>147</v>
      </c>
      <c r="Z57" s="370"/>
      <c r="AA57" s="328" t="n">
        <f aca="false">[2]Interest!Y27</f>
        <v>0.0288879255734806</v>
      </c>
      <c r="AB57" s="328" t="n">
        <f aca="false">1/(1+AA57/12)^(12*('[3]Term Sheet'!B25-'[3]Term Sheet'!$A$2)/365.25)</f>
        <v>0.954537340119991</v>
      </c>
      <c r="AC57" s="383"/>
    </row>
    <row r="58" customFormat="false" ht="9.75" hidden="false" customHeight="false" outlineLevel="0" collapsed="false">
      <c r="B58" s="321" t="s">
        <v>148</v>
      </c>
      <c r="C58" s="379" t="n">
        <v>4680</v>
      </c>
      <c r="D58" s="380" t="n">
        <v>-50</v>
      </c>
      <c r="E58" s="381" t="n">
        <v>-233600</v>
      </c>
      <c r="F58" s="377" t="n">
        <f aca="false">+AA54</f>
        <v>0.0384744902158107</v>
      </c>
      <c r="G58" s="377" t="n">
        <f aca="false">+AB54</f>
        <v>0.9</v>
      </c>
      <c r="H58" s="324" t="n">
        <f aca="false">+E58*G58</f>
        <v>-210240</v>
      </c>
      <c r="U58" s="52"/>
      <c r="V58" s="62"/>
      <c r="W58" s="62"/>
      <c r="X58" s="62"/>
      <c r="Y58" s="62"/>
      <c r="Z58" s="62"/>
      <c r="AA58" s="339" t="n">
        <f aca="false">[2]Interest!Y28</f>
        <v>0.029510961642063</v>
      </c>
      <c r="AB58" s="339" t="n">
        <f aca="false">1/(1+AA58/12)^(12*('[3]Term Sheet'!B26-'[3]Term Sheet'!$A$2)/365.25)</f>
        <v>0.951198603168997</v>
      </c>
      <c r="AC58" s="53"/>
    </row>
    <row r="59" customFormat="false" ht="9" hidden="false" customHeight="false" outlineLevel="0" collapsed="false">
      <c r="U59" s="52"/>
      <c r="V59" s="62"/>
      <c r="W59" s="62"/>
      <c r="X59" s="62"/>
      <c r="Y59" s="2"/>
      <c r="Z59" s="2"/>
      <c r="AA59" s="339" t="n">
        <f aca="false">[2]Interest!Y29</f>
        <v>0.0301135958069252</v>
      </c>
      <c r="AB59" s="339" t="n">
        <f aca="false">1/(1+AA59/12)^(12*('[3]Term Sheet'!B27-'[3]Term Sheet'!$A$2)/365.25)</f>
        <v>0.948040145452213</v>
      </c>
      <c r="AC59" s="384"/>
    </row>
    <row r="60" customFormat="false" ht="9" hidden="false" customHeight="false" outlineLevel="0" collapsed="false">
      <c r="U60" s="52"/>
      <c r="V60" s="62"/>
      <c r="W60" s="2"/>
      <c r="X60" s="2"/>
      <c r="Y60" s="2"/>
      <c r="Z60" s="2"/>
      <c r="AA60" s="339" t="n">
        <f aca="false">[2]Interest!Y30</f>
        <v>0.0307358916824705</v>
      </c>
      <c r="AB60" s="339" t="n">
        <f aca="false">1/(1+AA60/12)^(12*('[3]Term Sheet'!B28-'[3]Term Sheet'!$A$2)/365.25)</f>
        <v>0.944532678551744</v>
      </c>
      <c r="AC60" s="384"/>
    </row>
    <row r="61" customFormat="false" ht="9" hidden="false" customHeight="false" outlineLevel="0" collapsed="false">
      <c r="U61" s="52"/>
      <c r="V61" s="2"/>
      <c r="W61" s="2"/>
      <c r="X61" s="2"/>
      <c r="Y61" s="2"/>
      <c r="Z61" s="2"/>
      <c r="AA61" s="339" t="n">
        <f aca="false">[2]Interest!Y31</f>
        <v>0.0313581876885398</v>
      </c>
      <c r="AB61" s="339" t="n">
        <f aca="false">1/(1+AA61/12)^(12*('[3]Term Sheet'!B29-'[3]Term Sheet'!$A$2)/365.25)</f>
        <v>0.941019780446112</v>
      </c>
      <c r="AC61" s="384"/>
    </row>
    <row r="62" customFormat="false" ht="9" hidden="false" customHeight="false" outlineLevel="0" collapsed="false">
      <c r="U62" s="52"/>
      <c r="V62" s="2"/>
      <c r="W62" s="2"/>
      <c r="X62" s="2"/>
      <c r="Y62" s="2"/>
      <c r="Z62" s="2"/>
      <c r="AA62" s="339" t="n">
        <f aca="false">[2]Interest!Y32</f>
        <v>0.0319515123756289</v>
      </c>
      <c r="AB62" s="339" t="n">
        <f aca="false">1/(1+AA62/12)^(12*('[3]Term Sheet'!B30-'[3]Term Sheet'!$A$2)/365.25)</f>
        <v>0.937397330177898</v>
      </c>
      <c r="AC62" s="384"/>
    </row>
    <row r="63" customFormat="false" ht="9" hidden="false" customHeight="false" outlineLevel="0" collapsed="false">
      <c r="U63" s="52"/>
      <c r="V63" s="2"/>
      <c r="W63" s="2"/>
      <c r="X63" s="2"/>
      <c r="Y63" s="2"/>
      <c r="Z63" s="2"/>
      <c r="AA63" s="339" t="n">
        <f aca="false">[2]Interest!Y33</f>
        <v>0.0325534775320624</v>
      </c>
      <c r="AB63" s="339" t="n">
        <f aca="false">1/(1+AA63/12)^(12*('[3]Term Sheet'!B31-'[3]Term Sheet'!$A$2)/365.25)</f>
        <v>0.933761210774295</v>
      </c>
      <c r="AC63" s="384"/>
    </row>
    <row r="64" customFormat="false" ht="9" hidden="false" customHeight="false" outlineLevel="0" collapsed="false">
      <c r="U64" s="52"/>
      <c r="V64" s="2"/>
      <c r="W64" s="2"/>
      <c r="X64" s="2"/>
      <c r="Y64" s="2"/>
      <c r="Z64" s="2"/>
      <c r="AA64" s="339" t="n">
        <f aca="false">[2]Interest!Y34</f>
        <v>0.0331360245738281</v>
      </c>
      <c r="AB64" s="339" t="n">
        <f aca="false">1/(1+AA64/12)^(12*('[3]Term Sheet'!B32-'[3]Term Sheet'!$A$2)/365.25)</f>
        <v>0.930002719789374</v>
      </c>
      <c r="AC64" s="384"/>
    </row>
    <row r="65" customFormat="false" ht="9" hidden="false" customHeight="false" outlineLevel="0" collapsed="false">
      <c r="U65" s="52"/>
      <c r="V65" s="2"/>
      <c r="W65" s="2"/>
      <c r="X65" s="2"/>
      <c r="Y65" s="2"/>
      <c r="Z65" s="2"/>
      <c r="AA65" s="339" t="n">
        <f aca="false">[2]Interest!Y35</f>
        <v>0.033730973989627</v>
      </c>
      <c r="AB65" s="339" t="n">
        <f aca="false">1/(1+AA65/12)^(12*('[3]Term Sheet'!B33-'[3]Term Sheet'!$A$2)/365.25)</f>
        <v>0.926141985679945</v>
      </c>
      <c r="AC65" s="384"/>
    </row>
    <row r="66" customFormat="false" ht="9" hidden="false" customHeight="false" outlineLevel="0" collapsed="false">
      <c r="U66" s="52"/>
      <c r="V66" s="2"/>
      <c r="W66" s="2"/>
      <c r="X66" s="2"/>
      <c r="Y66" s="2"/>
      <c r="Z66" s="2"/>
      <c r="AA66" s="339" t="n">
        <f aca="false">[2]Interest!Y36</f>
        <v>0.0343184398103125</v>
      </c>
      <c r="AB66" s="339" t="n">
        <f aca="false">1/(1+AA66/12)^(12*('[3]Term Sheet'!B34-'[3]Term Sheet'!$A$2)/365.25)</f>
        <v>0.922307253746071</v>
      </c>
      <c r="AC66" s="384"/>
    </row>
    <row r="67" customFormat="false" ht="9" hidden="false" customHeight="false" outlineLevel="0" collapsed="false">
      <c r="U67" s="385"/>
      <c r="V67" s="2"/>
      <c r="W67" s="2"/>
      <c r="X67" s="2"/>
      <c r="Y67" s="2"/>
      <c r="Z67" s="2"/>
      <c r="AA67" s="339" t="n">
        <f aca="false">[2]Interest!Y37</f>
        <v>0.0348680047154315</v>
      </c>
      <c r="AB67" s="339" t="n">
        <f aca="false">1/(1+AA67/12)^(12*('[3]Term Sheet'!B35-'[3]Term Sheet'!$A$2)/365.25)</f>
        <v>0.918397295658067</v>
      </c>
      <c r="AC67" s="331"/>
    </row>
    <row r="68" customFormat="false" ht="9" hidden="false" customHeight="false" outlineLevel="0" collapsed="false">
      <c r="U68" s="52"/>
      <c r="V68" s="2"/>
      <c r="W68" s="2"/>
      <c r="X68" s="2"/>
      <c r="Y68" s="2"/>
      <c r="Z68" s="2"/>
      <c r="AA68" s="339" t="n">
        <f aca="false">[2]Interest!Y38</f>
        <v>0.0354214535497652</v>
      </c>
      <c r="AB68" s="339" t="n">
        <f aca="false">1/(1+AA68/12)^(12*('[3]Term Sheet'!B36-'[3]Term Sheet'!$A$2)/365.25)</f>
        <v>0.91449850282246</v>
      </c>
      <c r="AC68" s="384"/>
    </row>
    <row r="69" customFormat="false" ht="9" hidden="false" customHeight="false" outlineLevel="0" collapsed="false">
      <c r="U69" s="52"/>
      <c r="V69" s="2"/>
      <c r="W69" s="2"/>
      <c r="X69" s="2"/>
      <c r="Y69" s="2"/>
      <c r="Z69" s="2"/>
      <c r="AA69" s="386"/>
      <c r="AB69" s="386"/>
      <c r="AC69" s="384"/>
    </row>
    <row r="70" customFormat="false" ht="9.75" hidden="false" customHeight="false" outlineLevel="0" collapsed="false">
      <c r="U70" s="96"/>
      <c r="V70" s="342"/>
      <c r="W70" s="342"/>
      <c r="X70" s="342"/>
      <c r="Y70" s="342"/>
      <c r="Z70" s="342"/>
      <c r="AA70" s="387" t="n">
        <f aca="false">AVERAGE(AA57:AA68)</f>
        <v>0.0322155374116779</v>
      </c>
      <c r="AB70" s="387" t="n">
        <f aca="false">AVERAGE(AB57:AB68)</f>
        <v>0.935152903865597</v>
      </c>
      <c r="AC70" s="388"/>
    </row>
    <row r="72" customFormat="false" ht="9.75" hidden="false" customHeight="false" outlineLevel="0" collapsed="false"/>
    <row r="73" customFormat="false" ht="9" hidden="false" customHeight="false" outlineLevel="0" collapsed="false">
      <c r="C73" s="1"/>
      <c r="D73" s="1"/>
      <c r="E73" s="1"/>
      <c r="F73" s="1"/>
      <c r="G73" s="1"/>
      <c r="H73" s="1"/>
      <c r="U73" s="382"/>
      <c r="V73" s="370"/>
      <c r="W73" s="370"/>
      <c r="X73" s="370"/>
      <c r="Y73" s="370" t="s">
        <v>149</v>
      </c>
      <c r="Z73" s="370"/>
      <c r="AA73" s="389" t="n">
        <f aca="false">[2]Interest!Y39</f>
        <v>0.035921934747599</v>
      </c>
      <c r="AB73" s="357" t="n">
        <f aca="false">1/(1+AA73/12)^(12*('[3]Term Sheet'!B41-'[3]Term Sheet'!$A$2)/365.25)</f>
        <v>0.899814060889423</v>
      </c>
      <c r="AC73" s="383"/>
    </row>
    <row r="74" customFormat="false" ht="9" hidden="false" customHeight="false" outlineLevel="0" collapsed="false">
      <c r="C74" s="1"/>
      <c r="D74" s="1"/>
      <c r="E74" s="1"/>
      <c r="F74" s="1"/>
      <c r="G74" s="1"/>
      <c r="H74" s="1"/>
      <c r="U74" s="52"/>
      <c r="V74" s="62"/>
      <c r="W74" s="62"/>
      <c r="X74" s="62"/>
      <c r="Y74" s="62"/>
      <c r="Z74" s="62"/>
      <c r="AA74" s="390" t="n">
        <f aca="false">[2]Interest!Y40</f>
        <v>0.036439098740495</v>
      </c>
      <c r="AB74" s="339" t="n">
        <f aca="false">1/(1+AA74/12)^(12*('[3]Term Sheet'!B42-'[3]Term Sheet'!$A$2)/365.25)</f>
        <v>0.895679442248954</v>
      </c>
      <c r="AC74" s="53"/>
    </row>
    <row r="75" customFormat="false" ht="9" hidden="false" customHeight="false" outlineLevel="0" collapsed="false">
      <c r="U75" s="52"/>
      <c r="V75" s="62"/>
      <c r="W75" s="62"/>
      <c r="X75" s="62"/>
      <c r="Y75" s="2"/>
      <c r="Z75" s="2"/>
      <c r="AA75" s="390" t="n">
        <f aca="false">[2]Interest!Y41</f>
        <v>0.0369207815710348</v>
      </c>
      <c r="AB75" s="339" t="n">
        <f aca="false">1/(1+AA75/12)^(12*('[3]Term Sheet'!B43-'[3]Term Sheet'!$A$2)/365.25)</f>
        <v>0.891674013672857</v>
      </c>
      <c r="AC75" s="384"/>
    </row>
    <row r="76" customFormat="false" ht="9" hidden="false" customHeight="false" outlineLevel="0" collapsed="false">
      <c r="U76" s="52"/>
      <c r="V76" s="62"/>
      <c r="W76" s="2"/>
      <c r="X76" s="2"/>
      <c r="Y76" s="2"/>
      <c r="Z76" s="2"/>
      <c r="AA76" s="390" t="n">
        <f aca="false">[2]Interest!Y42</f>
        <v>0.0373978947844531</v>
      </c>
      <c r="AB76" s="339" t="n">
        <f aca="false">1/(1+AA76/12)^(12*('[3]Term Sheet'!B44-'[3]Term Sheet'!$A$2)/365.25)</f>
        <v>0.887538698744744</v>
      </c>
      <c r="AC76" s="384"/>
    </row>
    <row r="77" customFormat="false" ht="9" hidden="false" customHeight="false" outlineLevel="0" collapsed="false">
      <c r="U77" s="52"/>
      <c r="V77" s="2"/>
      <c r="W77" s="2"/>
      <c r="X77" s="2"/>
      <c r="Y77" s="2"/>
      <c r="Z77" s="2"/>
      <c r="AA77" s="390" t="n">
        <f aca="false">[2]Interest!Y43</f>
        <v>0.0378750080743457</v>
      </c>
      <c r="AB77" s="339" t="n">
        <f aca="false">1/(1+AA77/12)^(12*('[3]Term Sheet'!B45-'[3]Term Sheet'!$A$2)/365.25)</f>
        <v>0.883351293313012</v>
      </c>
      <c r="AC77" s="384"/>
    </row>
    <row r="78" customFormat="false" ht="9" hidden="false" customHeight="false" outlineLevel="0" collapsed="false">
      <c r="U78" s="52"/>
      <c r="V78" s="2"/>
      <c r="W78" s="2"/>
      <c r="X78" s="2"/>
      <c r="Y78" s="2"/>
      <c r="Z78" s="2"/>
      <c r="AA78" s="390" t="n">
        <f aca="false">[2]Interest!Y44</f>
        <v>0.0383180499183116</v>
      </c>
      <c r="AB78" s="339" t="n">
        <f aca="false">1/(1+AA78/12)^(12*('[3]Term Sheet'!B46-'[3]Term Sheet'!$A$2)/365.25)</f>
        <v>0.879305286939095</v>
      </c>
      <c r="AC78" s="384"/>
    </row>
    <row r="79" customFormat="false" ht="9" hidden="false" customHeight="false" outlineLevel="0" collapsed="false">
      <c r="U79" s="52"/>
      <c r="V79" s="2"/>
      <c r="W79" s="2"/>
      <c r="X79" s="2"/>
      <c r="Y79" s="2"/>
      <c r="Z79" s="2"/>
      <c r="AA79" s="390" t="n">
        <f aca="false">[2]Interest!Y45</f>
        <v>0.0387579045204118</v>
      </c>
      <c r="AB79" s="339" t="n">
        <f aca="false">1/(1+AA79/12)^(12*('[3]Term Sheet'!B47-'[3]Term Sheet'!$A$2)/365.25)</f>
        <v>0.875131221995772</v>
      </c>
      <c r="AC79" s="384"/>
    </row>
    <row r="80" customFormat="false" ht="9" hidden="false" customHeight="false" outlineLevel="0" collapsed="false">
      <c r="U80" s="52"/>
      <c r="V80" s="2"/>
      <c r="W80" s="2"/>
      <c r="X80" s="2"/>
      <c r="Y80" s="2"/>
      <c r="Z80" s="2"/>
      <c r="AA80" s="390" t="n">
        <f aca="false">[2]Interest!Y46</f>
        <v>0.0391835703262236</v>
      </c>
      <c r="AB80" s="339" t="n">
        <f aca="false">1/(1+AA80/12)^(12*('[3]Term Sheet'!B48-'[3]Term Sheet'!$A$2)/365.25)</f>
        <v>0.871048991021934</v>
      </c>
      <c r="AC80" s="384"/>
    </row>
    <row r="81" customFormat="false" ht="9" hidden="false" customHeight="false" outlineLevel="0" collapsed="false">
      <c r="U81" s="52"/>
      <c r="V81" s="2"/>
      <c r="W81" s="2"/>
      <c r="X81" s="2"/>
      <c r="Y81" s="2"/>
      <c r="Z81" s="2"/>
      <c r="AA81" s="390" t="n">
        <f aca="false">[2]Interest!Y47</f>
        <v>0.0396118624311277</v>
      </c>
      <c r="AB81" s="339" t="n">
        <f aca="false">1/(1+AA81/12)^(12*('[3]Term Sheet'!B49-'[3]Term Sheet'!$A$2)/365.25)</f>
        <v>0.866823370753633</v>
      </c>
      <c r="AC81" s="384"/>
    </row>
    <row r="82" customFormat="false" ht="9" hidden="false" customHeight="false" outlineLevel="0" collapsed="false">
      <c r="U82" s="52"/>
      <c r="V82" s="2"/>
      <c r="W82" s="2"/>
      <c r="X82" s="2"/>
      <c r="Y82" s="2"/>
      <c r="Z82" s="2"/>
      <c r="AA82" s="390" t="n">
        <f aca="false">[2]Interest!Y48</f>
        <v>0.0400306324344943</v>
      </c>
      <c r="AB82" s="339" t="n">
        <f aca="false">1/(1+AA82/12)^(12*('[3]Term Sheet'!B50-'[3]Term Sheet'!$A$2)/365.25)</f>
        <v>0.862586071643411</v>
      </c>
      <c r="AC82" s="384"/>
    </row>
    <row r="83" customFormat="false" ht="9" hidden="false" customHeight="false" outlineLevel="0" collapsed="false">
      <c r="U83" s="385"/>
      <c r="V83" s="2"/>
      <c r="W83" s="2"/>
      <c r="X83" s="2"/>
      <c r="Y83" s="2"/>
      <c r="Z83" s="2"/>
      <c r="AA83" s="390" t="n">
        <f aca="false">[2]Interest!Y49</f>
        <v>0.0404088763590766</v>
      </c>
      <c r="AB83" s="339" t="n">
        <f aca="false">1/(1+AA83/12)^(12*('[3]Term Sheet'!B51-'[3]Term Sheet'!$A$2)/365.25)</f>
        <v>0.858724385086104</v>
      </c>
      <c r="AC83" s="331"/>
    </row>
    <row r="84" customFormat="false" ht="9" hidden="false" customHeight="false" outlineLevel="0" collapsed="false">
      <c r="U84" s="52"/>
      <c r="V84" s="2"/>
      <c r="W84" s="2"/>
      <c r="X84" s="2"/>
      <c r="Y84" s="2"/>
      <c r="Z84" s="2"/>
      <c r="AA84" s="390" t="n">
        <f aca="false">[2]Interest!Y50</f>
        <v>0.0408282686821555</v>
      </c>
      <c r="AB84" s="339" t="n">
        <f aca="false">1/(1+AA84/12)^(12*('[3]Term Sheet'!B52-'[3]Term Sheet'!$A$2)/365.25)</f>
        <v>0.854409503462373</v>
      </c>
      <c r="AC84" s="384"/>
    </row>
    <row r="85" customFormat="false" ht="9" hidden="false" customHeight="false" outlineLevel="0" collapsed="false">
      <c r="U85" s="52"/>
      <c r="V85" s="2"/>
      <c r="W85" s="2"/>
      <c r="X85" s="2"/>
      <c r="Y85" s="2"/>
      <c r="Z85" s="2"/>
      <c r="AA85" s="386"/>
      <c r="AB85" s="386"/>
      <c r="AC85" s="384"/>
    </row>
    <row r="86" customFormat="false" ht="9.75" hidden="false" customHeight="false" outlineLevel="0" collapsed="false">
      <c r="G86" s="386"/>
      <c r="U86" s="96"/>
      <c r="V86" s="342"/>
      <c r="W86" s="342"/>
      <c r="X86" s="342"/>
      <c r="Y86" s="342"/>
      <c r="Z86" s="342"/>
      <c r="AA86" s="387" t="n">
        <f aca="false">AVERAGE(AA73:AA84)</f>
        <v>0.0384744902158107</v>
      </c>
      <c r="AB86" s="387" t="n">
        <f aca="false">AVERAGE(AB73:AB84)</f>
        <v>0.877173861647609</v>
      </c>
      <c r="AC86" s="388"/>
    </row>
    <row r="87" customFormat="false" ht="9.75" hidden="false" customHeight="false" outlineLevel="0" collapsed="false">
      <c r="G87" s="386"/>
    </row>
    <row r="88" customFormat="false" ht="9" hidden="false" customHeight="false" outlineLevel="0" collapsed="false">
      <c r="G88" s="386"/>
      <c r="U88" s="382"/>
      <c r="V88" s="370"/>
      <c r="W88" s="370"/>
      <c r="X88" s="370"/>
      <c r="Y88" s="370" t="s">
        <v>150</v>
      </c>
      <c r="Z88" s="370"/>
      <c r="AA88" s="389" t="n">
        <f aca="false">[2]Interest!Y51</f>
        <v>0.0412322726044354</v>
      </c>
      <c r="AB88" s="357" t="n">
        <f aca="false">1/(1+AA88/12)^(12*('[3]Term Sheet'!B56-'[3]Term Sheet'!$A$2)/365.25)</f>
        <v>0.841434013449853</v>
      </c>
      <c r="AC88" s="383"/>
    </row>
    <row r="89" customFormat="false" ht="9" hidden="false" customHeight="false" outlineLevel="0" collapsed="false">
      <c r="U89" s="52"/>
      <c r="V89" s="62"/>
      <c r="W89" s="62"/>
      <c r="X89" s="62"/>
      <c r="Y89" s="62"/>
      <c r="Z89" s="62"/>
      <c r="AA89" s="389" t="n">
        <f aca="false">[2]Interest!Y52</f>
        <v>0.0416497433816208</v>
      </c>
      <c r="AB89" s="339" t="n">
        <f aca="false">1/(1+AA89/12)^(12*('[3]Term Sheet'!B57-'[3]Term Sheet'!$A$2)/365.25)</f>
        <v>0.837008104632304</v>
      </c>
      <c r="AC89" s="53"/>
    </row>
    <row r="90" customFormat="false" ht="9" hidden="false" customHeight="false" outlineLevel="0" collapsed="false">
      <c r="U90" s="52"/>
      <c r="V90" s="62"/>
      <c r="W90" s="62"/>
      <c r="X90" s="62"/>
      <c r="Y90" s="2"/>
      <c r="Z90" s="2"/>
      <c r="AA90" s="389" t="n">
        <f aca="false">[2]Interest!Y53</f>
        <v>0.0420117390341965</v>
      </c>
      <c r="AB90" s="339" t="n">
        <f aca="false">1/(1+AA90/12)^(12*('[3]Term Sheet'!B58-'[3]Term Sheet'!$A$2)/365.25)</f>
        <v>0.832843234717422</v>
      </c>
      <c r="AC90" s="384"/>
    </row>
    <row r="91" customFormat="false" ht="9" hidden="false" customHeight="false" outlineLevel="0" collapsed="false">
      <c r="U91" s="52"/>
      <c r="V91" s="62"/>
      <c r="W91" s="2"/>
      <c r="X91" s="2"/>
      <c r="Y91" s="2"/>
      <c r="Z91" s="2"/>
      <c r="AA91" s="389" t="n">
        <f aca="false">[2]Interest!Y54</f>
        <v>0.042345377834351</v>
      </c>
      <c r="AB91" s="339" t="n">
        <f aca="false">1/(1+AA91/12)^(12*('[3]Term Sheet'!B59-'[3]Term Sheet'!$A$2)/365.25)</f>
        <v>0.828658168178222</v>
      </c>
      <c r="AC91" s="384"/>
    </row>
    <row r="92" customFormat="false" ht="9" hidden="false" customHeight="false" outlineLevel="0" collapsed="false">
      <c r="U92" s="52"/>
      <c r="V92" s="2"/>
      <c r="W92" s="2"/>
      <c r="X92" s="2"/>
      <c r="Y92" s="2"/>
      <c r="Z92" s="2"/>
      <c r="AA92" s="389" t="n">
        <f aca="false">[2]Interest!Y55</f>
        <v>0.0426790166718112</v>
      </c>
      <c r="AB92" s="339" t="n">
        <f aca="false">1/(1+AA92/12)^(12*('[3]Term Sheet'!B60-'[3]Term Sheet'!$A$2)/365.25)</f>
        <v>0.824543806796416</v>
      </c>
      <c r="AC92" s="384"/>
    </row>
    <row r="93" customFormat="false" ht="9" hidden="false" customHeight="false" outlineLevel="0" collapsed="false">
      <c r="U93" s="52"/>
      <c r="V93" s="2"/>
      <c r="W93" s="2"/>
      <c r="X93" s="2"/>
      <c r="Y93" s="2"/>
      <c r="Z93" s="2"/>
      <c r="AA93" s="389" t="n">
        <f aca="false">[2]Interest!Y56</f>
        <v>0.042993975110468</v>
      </c>
      <c r="AB93" s="339" t="n">
        <f aca="false">1/(1+AA93/12)^(12*('[3]Term Sheet'!B61-'[3]Term Sheet'!$A$2)/365.25)</f>
        <v>0.820379110552931</v>
      </c>
      <c r="AC93" s="384"/>
    </row>
    <row r="94" customFormat="false" ht="9" hidden="false" customHeight="false" outlineLevel="0" collapsed="false">
      <c r="U94" s="52"/>
      <c r="V94" s="2"/>
      <c r="W94" s="2"/>
      <c r="X94" s="2"/>
      <c r="Y94" s="2"/>
      <c r="Z94" s="2"/>
      <c r="AA94" s="389" t="n">
        <f aca="false">[2]Interest!Y57</f>
        <v>0.0433012652025302</v>
      </c>
      <c r="AB94" s="339" t="n">
        <f aca="false">1/(1+AA94/12)^(12*('[3]Term Sheet'!B62-'[3]Term Sheet'!$A$2)/365.25)</f>
        <v>0.816221298920336</v>
      </c>
      <c r="AC94" s="384"/>
    </row>
    <row r="95" customFormat="false" ht="9" hidden="false" customHeight="false" outlineLevel="0" collapsed="false">
      <c r="U95" s="52"/>
      <c r="V95" s="2"/>
      <c r="W95" s="2"/>
      <c r="X95" s="2"/>
      <c r="Y95" s="2"/>
      <c r="Z95" s="2"/>
      <c r="AA95" s="389" t="n">
        <f aca="false">[2]Interest!Y58</f>
        <v>0.0435986427410948</v>
      </c>
      <c r="AB95" s="339" t="n">
        <f aca="false">1/(1+AA95/12)^(12*('[3]Term Sheet'!B63-'[3]Term Sheet'!$A$2)/365.25)</f>
        <v>0.812371076243864</v>
      </c>
      <c r="AC95" s="384"/>
    </row>
    <row r="96" customFormat="false" ht="9" hidden="false" customHeight="false" outlineLevel="0" collapsed="false">
      <c r="U96" s="52"/>
      <c r="V96" s="2"/>
      <c r="W96" s="2"/>
      <c r="X96" s="2"/>
      <c r="Y96" s="2"/>
      <c r="Z96" s="2"/>
      <c r="AA96" s="389" t="n">
        <f aca="false">[2]Interest!Y59</f>
        <v>0.0438877944255367</v>
      </c>
      <c r="AB96" s="339" t="n">
        <f aca="false">1/(1+AA96/12)^(12*('[3]Term Sheet'!B64-'[3]Term Sheet'!$A$2)/365.25)</f>
        <v>0.808243589873788</v>
      </c>
      <c r="AC96" s="384"/>
    </row>
    <row r="97" customFormat="false" ht="9" hidden="false" customHeight="false" outlineLevel="0" collapsed="false">
      <c r="U97" s="52"/>
      <c r="V97" s="2"/>
      <c r="W97" s="2"/>
      <c r="X97" s="2"/>
      <c r="Y97" s="2"/>
      <c r="Z97" s="2"/>
      <c r="AA97" s="389" t="n">
        <f aca="false">[2]Interest!Y60</f>
        <v>0.044143967098961</v>
      </c>
      <c r="AB97" s="339" t="n">
        <f aca="false">1/(1+AA97/12)^(12*('[3]Term Sheet'!B65-'[3]Term Sheet'!$A$2)/365.25)</f>
        <v>0.8043254547146</v>
      </c>
      <c r="AC97" s="384"/>
    </row>
    <row r="98" customFormat="false" ht="9" hidden="false" customHeight="false" outlineLevel="0" collapsed="false">
      <c r="U98" s="385"/>
      <c r="V98" s="2"/>
      <c r="W98" s="2"/>
      <c r="X98" s="2"/>
      <c r="Y98" s="2"/>
      <c r="Z98" s="2"/>
      <c r="AA98" s="389" t="n">
        <f aca="false">[2]Interest!Y61</f>
        <v>0.0443753488873928</v>
      </c>
      <c r="AB98" s="339" t="n">
        <f aca="false">1/(1+AA98/12)^(12*('[3]Term Sheet'!B66-'[3]Term Sheet'!$A$2)/365.25)</f>
        <v>0.800395033214965</v>
      </c>
      <c r="AC98" s="331"/>
    </row>
    <row r="99" customFormat="false" ht="9" hidden="false" customHeight="false" outlineLevel="0" collapsed="false">
      <c r="U99" s="52"/>
      <c r="V99" s="2"/>
      <c r="W99" s="2"/>
      <c r="X99" s="2"/>
      <c r="Y99" s="2"/>
      <c r="Z99" s="2"/>
      <c r="AA99" s="389" t="n">
        <f aca="false">[2]Interest!Y62</f>
        <v>0.0446315216026361</v>
      </c>
      <c r="AB99" s="339" t="n">
        <f aca="false">1/(1+AA99/12)^(12*('[3]Term Sheet'!B67-'[3]Term Sheet'!$A$2)/365.25)</f>
        <v>0.796449257360081</v>
      </c>
      <c r="AC99" s="384"/>
    </row>
    <row r="100" customFormat="false" ht="9" hidden="false" customHeight="false" outlineLevel="0" collapsed="false">
      <c r="U100" s="52"/>
      <c r="V100" s="2"/>
      <c r="W100" s="2"/>
      <c r="X100" s="2"/>
      <c r="Y100" s="2"/>
      <c r="Z100" s="2"/>
      <c r="AA100" s="386"/>
      <c r="AB100" s="386"/>
      <c r="AC100" s="384"/>
    </row>
    <row r="101" customFormat="false" ht="9.75" hidden="false" customHeight="false" outlineLevel="0" collapsed="false">
      <c r="U101" s="96"/>
      <c r="V101" s="342"/>
      <c r="W101" s="342"/>
      <c r="X101" s="342"/>
      <c r="Y101" s="342"/>
      <c r="Z101" s="342"/>
      <c r="AA101" s="387" t="n">
        <f aca="false">AVERAGE(AA88:AA99)</f>
        <v>0.0430708887162529</v>
      </c>
      <c r="AB101" s="387" t="n">
        <f aca="false">AVERAGE(AB88:AB99)</f>
        <v>0.818572679054565</v>
      </c>
      <c r="AC101" s="388"/>
    </row>
  </sheetData>
  <printOptions headings="false" gridLines="false" gridLinesSet="true" horizontalCentered="false" verticalCentered="false"/>
  <pageMargins left="0.179861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"/>
  <sheetViews>
    <sheetView showFormulas="false" showGridLines="true" showRowColHeaders="true" showZeros="true" rightToLeft="false" tabSelected="true" showOutlineSymbols="true" defaultGridColor="true" view="normal" topLeftCell="A32" colorId="64" zoomScale="100" zoomScaleNormal="100" zoomScalePageLayoutView="100" workbookViewId="0">
      <selection pane="topLeft" activeCell="H58" activeCellId="0" sqref="H58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1" width="1.28"/>
    <col collapsed="false" customWidth="true" hidden="false" outlineLevel="0" max="2" min="2" style="1" width="12.28"/>
    <col collapsed="false" customWidth="true" hidden="false" outlineLevel="0" max="3" min="3" style="2" width="3.85"/>
    <col collapsed="false" customWidth="true" hidden="false" outlineLevel="0" max="4" min="4" style="2" width="8.14"/>
    <col collapsed="false" customWidth="true" hidden="false" outlineLevel="0" max="5" min="5" style="2" width="8.99"/>
    <col collapsed="false" customWidth="true" hidden="false" outlineLevel="0" max="6" min="6" style="2" width="9.28"/>
    <col collapsed="false" customWidth="true" hidden="false" outlineLevel="0" max="7" min="7" style="2" width="1.41"/>
    <col collapsed="false" customWidth="true" hidden="false" outlineLevel="0" max="8" min="8" style="2" width="8.7"/>
    <col collapsed="false" customWidth="true" hidden="false" outlineLevel="0" max="9" min="9" style="391" width="3.14"/>
    <col collapsed="false" customWidth="true" hidden="false" outlineLevel="0" max="10" min="10" style="392" width="7.7"/>
    <col collapsed="false" customWidth="true" hidden="false" outlineLevel="0" max="11" min="11" style="392" width="6.99"/>
    <col collapsed="false" customWidth="true" hidden="false" outlineLevel="0" max="12" min="12" style="1" width="6.13"/>
    <col collapsed="false" customWidth="true" hidden="false" outlineLevel="0" max="13" min="13" style="1" width="13.56"/>
    <col collapsed="false" customWidth="true" hidden="false" outlineLevel="0" max="14" min="14" style="1" width="7.56"/>
    <col collapsed="false" customWidth="false" hidden="false" outlineLevel="0" max="15" min="15" style="1" width="9.14"/>
    <col collapsed="false" customWidth="true" hidden="false" outlineLevel="0" max="16" min="16" style="1" width="12.28"/>
    <col collapsed="false" customWidth="true" hidden="false" outlineLevel="0" max="17" min="17" style="1" width="6.28"/>
    <col collapsed="false" customWidth="false" hidden="false" outlineLevel="0" max="18" min="18" style="1" width="9.14"/>
    <col collapsed="false" customWidth="true" hidden="false" outlineLevel="0" max="19" min="19" style="1" width="9.7"/>
    <col collapsed="false" customWidth="false" hidden="false" outlineLevel="0" max="257" min="20" style="1" width="9.14"/>
  </cols>
  <sheetData>
    <row r="1" customFormat="false" ht="9" hidden="false" customHeight="false" outlineLevel="0" collapsed="false">
      <c r="B1" s="219" t="s">
        <v>73</v>
      </c>
      <c r="C1" s="220"/>
      <c r="D1" s="221" t="s">
        <v>74</v>
      </c>
      <c r="E1" s="221" t="s">
        <v>74</v>
      </c>
      <c r="F1" s="221" t="s">
        <v>74</v>
      </c>
      <c r="G1" s="1"/>
      <c r="H1" s="222" t="s">
        <v>76</v>
      </c>
      <c r="J1" s="393" t="s">
        <v>75</v>
      </c>
      <c r="K1" s="394" t="s">
        <v>75</v>
      </c>
      <c r="L1" s="394" t="s">
        <v>151</v>
      </c>
      <c r="M1" s="394" t="s">
        <v>151</v>
      </c>
      <c r="N1" s="394"/>
      <c r="O1" s="394"/>
      <c r="P1" s="395"/>
      <c r="R1" s="240"/>
      <c r="S1" s="396" t="s">
        <v>152</v>
      </c>
      <c r="T1" s="396"/>
      <c r="U1" s="396"/>
      <c r="V1" s="396"/>
      <c r="W1" s="397"/>
    </row>
    <row r="2" customFormat="false" ht="9.75" hidden="false" customHeight="false" outlineLevel="0" collapsed="false">
      <c r="B2" s="229"/>
      <c r="C2" s="230"/>
      <c r="D2" s="231" t="s">
        <v>153</v>
      </c>
      <c r="E2" s="231" t="s">
        <v>154</v>
      </c>
      <c r="F2" s="231" t="s">
        <v>155</v>
      </c>
      <c r="G2" s="1"/>
      <c r="H2" s="232" t="s">
        <v>156</v>
      </c>
      <c r="J2" s="398" t="s">
        <v>157</v>
      </c>
      <c r="K2" s="399" t="s">
        <v>158</v>
      </c>
      <c r="L2" s="399"/>
      <c r="M2" s="399" t="s">
        <v>75</v>
      </c>
      <c r="N2" s="399"/>
      <c r="O2" s="399"/>
      <c r="P2" s="400"/>
      <c r="R2" s="240"/>
      <c r="S2" s="401" t="s">
        <v>159</v>
      </c>
      <c r="T2" s="401" t="s">
        <v>160</v>
      </c>
      <c r="U2" s="401" t="s">
        <v>161</v>
      </c>
      <c r="V2" s="401" t="s">
        <v>162</v>
      </c>
      <c r="W2" s="402" t="s">
        <v>163</v>
      </c>
    </row>
    <row r="3" customFormat="false" ht="9.75" hidden="false" customHeight="false" outlineLevel="0" collapsed="false">
      <c r="A3" s="240"/>
      <c r="B3" s="403"/>
      <c r="C3" s="242"/>
      <c r="D3" s="243"/>
      <c r="E3" s="243"/>
      <c r="F3" s="243"/>
      <c r="G3" s="240"/>
      <c r="H3" s="404"/>
      <c r="L3" s="240"/>
      <c r="M3" s="240"/>
      <c r="N3" s="240"/>
      <c r="O3" s="240"/>
      <c r="P3" s="240"/>
      <c r="Q3" s="240"/>
      <c r="R3" s="240"/>
      <c r="S3" s="405"/>
      <c r="T3" s="405"/>
      <c r="U3" s="240"/>
      <c r="V3" s="405" t="n">
        <f aca="false">+(T3-S3)*U3</f>
        <v>0</v>
      </c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  <c r="IL3" s="240"/>
      <c r="IM3" s="240"/>
      <c r="IN3" s="240"/>
      <c r="IO3" s="240"/>
      <c r="IP3" s="240"/>
      <c r="IQ3" s="240"/>
      <c r="IR3" s="240"/>
      <c r="IS3" s="240"/>
      <c r="IT3" s="240"/>
      <c r="IU3" s="240"/>
      <c r="IV3" s="240"/>
      <c r="IW3" s="240"/>
    </row>
    <row r="4" customFormat="false" ht="9" hidden="false" customHeight="false" outlineLevel="0" collapsed="false">
      <c r="B4" s="249"/>
      <c r="C4" s="250"/>
      <c r="D4" s="251"/>
      <c r="E4" s="251"/>
      <c r="F4" s="251"/>
      <c r="G4" s="1"/>
      <c r="H4" s="252" t="n">
        <f aca="false">SUM(D4:F4)*16</f>
        <v>0</v>
      </c>
      <c r="L4" s="392"/>
      <c r="M4" s="392"/>
      <c r="N4" s="392"/>
      <c r="O4" s="392"/>
      <c r="P4" s="392"/>
      <c r="R4" s="350"/>
      <c r="S4" s="405"/>
      <c r="T4" s="240"/>
      <c r="U4" s="240"/>
      <c r="V4" s="405" t="n">
        <f aca="false">+(T4-S4)*U4</f>
        <v>0</v>
      </c>
    </row>
    <row r="5" customFormat="false" ht="9" hidden="false" customHeight="false" outlineLevel="0" collapsed="false">
      <c r="B5" s="259" t="n">
        <v>37178</v>
      </c>
      <c r="C5" s="250" t="n">
        <v>1</v>
      </c>
      <c r="D5" s="251"/>
      <c r="E5" s="251"/>
      <c r="F5" s="251"/>
      <c r="G5" s="1"/>
      <c r="H5" s="252" t="n">
        <f aca="false">SUM(D5:F5)*16</f>
        <v>0</v>
      </c>
      <c r="L5" s="392"/>
      <c r="M5" s="392"/>
      <c r="N5" s="392"/>
      <c r="O5" s="392"/>
      <c r="P5" s="392"/>
      <c r="R5" s="405"/>
      <c r="S5" s="392"/>
      <c r="T5" s="405"/>
      <c r="U5" s="240"/>
      <c r="V5" s="405" t="n">
        <f aca="false">+(T5-S5)*U5</f>
        <v>0</v>
      </c>
      <c r="W5" s="406"/>
    </row>
    <row r="6" customFormat="false" ht="9" hidden="false" customHeight="false" outlineLevel="0" collapsed="false">
      <c r="B6" s="259"/>
      <c r="C6" s="250"/>
      <c r="D6" s="251"/>
      <c r="E6" s="251"/>
      <c r="F6" s="251"/>
      <c r="G6" s="1"/>
      <c r="H6" s="252" t="n">
        <f aca="false">SUM(D6:F6)*16</f>
        <v>0</v>
      </c>
      <c r="L6" s="392"/>
      <c r="M6" s="392"/>
      <c r="N6" s="392"/>
      <c r="O6" s="392"/>
      <c r="P6" s="392"/>
      <c r="R6" s="240"/>
      <c r="S6" s="392"/>
      <c r="T6" s="392"/>
      <c r="U6" s="240"/>
      <c r="V6" s="405" t="n">
        <f aca="false">+(T6-S6)*U6</f>
        <v>0</v>
      </c>
    </row>
    <row r="7" customFormat="false" ht="9" hidden="false" customHeight="false" outlineLevel="0" collapsed="false">
      <c r="B7" s="259"/>
      <c r="C7" s="250"/>
      <c r="D7" s="251"/>
      <c r="E7" s="251"/>
      <c r="F7" s="251"/>
      <c r="G7" s="1"/>
      <c r="H7" s="252" t="n">
        <f aca="false">SUM(D7:F7)*16</f>
        <v>0</v>
      </c>
      <c r="L7" s="392"/>
      <c r="M7" s="392"/>
      <c r="N7" s="392"/>
      <c r="O7" s="392"/>
      <c r="P7" s="392"/>
      <c r="R7" s="405"/>
      <c r="S7" s="392"/>
      <c r="T7" s="405"/>
      <c r="U7" s="240"/>
      <c r="V7" s="405" t="n">
        <f aca="false">+(T7-S7)*U7</f>
        <v>0</v>
      </c>
    </row>
    <row r="8" customFormat="false" ht="9.75" hidden="false" customHeight="false" outlineLevel="0" collapsed="false">
      <c r="B8" s="276"/>
      <c r="C8" s="250"/>
      <c r="D8" s="251"/>
      <c r="E8" s="251"/>
      <c r="F8" s="251"/>
      <c r="G8" s="1"/>
      <c r="H8" s="252"/>
      <c r="L8" s="392"/>
      <c r="M8" s="392"/>
      <c r="N8" s="392"/>
      <c r="O8" s="392"/>
      <c r="P8" s="392"/>
      <c r="Q8" s="240"/>
      <c r="R8" s="405"/>
      <c r="S8" s="392"/>
      <c r="T8" s="392"/>
      <c r="U8" s="240"/>
      <c r="V8" s="405" t="n">
        <f aca="false">+(T8-S8)*U8</f>
        <v>0</v>
      </c>
    </row>
    <row r="9" customFormat="false" ht="9" hidden="false" customHeight="false" outlineLevel="0" collapsed="false">
      <c r="B9" s="290" t="s">
        <v>98</v>
      </c>
      <c r="C9" s="291"/>
      <c r="D9" s="292" t="n">
        <f aca="false">SUM(D4:D8)*16</f>
        <v>0</v>
      </c>
      <c r="E9" s="292" t="n">
        <f aca="false">SUM(E4:E8)*16</f>
        <v>0</v>
      </c>
      <c r="F9" s="292" t="n">
        <f aca="false">SUM(F4:F8)*16</f>
        <v>0</v>
      </c>
      <c r="G9" s="62"/>
      <c r="H9" s="407" t="n">
        <f aca="false">SUM(H4:H8)</f>
        <v>0</v>
      </c>
      <c r="L9" s="392"/>
      <c r="M9" s="408" t="n">
        <f aca="false">SUM(M5:M8)</f>
        <v>0</v>
      </c>
      <c r="N9" s="240"/>
      <c r="O9" s="240"/>
      <c r="P9" s="405"/>
      <c r="R9" s="392"/>
      <c r="S9" s="392"/>
      <c r="T9" s="392"/>
      <c r="U9" s="240"/>
      <c r="V9" s="405" t="n">
        <f aca="false">+(T9-S9)*U9</f>
        <v>0</v>
      </c>
    </row>
    <row r="10" customFormat="false" ht="9.75" hidden="false" customHeight="false" outlineLevel="0" collapsed="false">
      <c r="B10" s="290"/>
      <c r="C10" s="291"/>
      <c r="D10" s="292"/>
      <c r="E10" s="292"/>
      <c r="F10" s="292"/>
      <c r="G10" s="292"/>
      <c r="H10" s="292"/>
      <c r="R10" s="392"/>
      <c r="S10" s="392"/>
      <c r="T10" s="392"/>
      <c r="U10" s="240"/>
      <c r="V10" s="405" t="n">
        <f aca="false">+(T10-S10)*U10</f>
        <v>0</v>
      </c>
    </row>
    <row r="11" customFormat="false" ht="9" hidden="false" customHeight="false" outlineLevel="0" collapsed="false">
      <c r="B11" s="300" t="s">
        <v>100</v>
      </c>
      <c r="C11" s="301"/>
      <c r="D11" s="409" t="s">
        <v>74</v>
      </c>
      <c r="E11" s="409" t="s">
        <v>74</v>
      </c>
      <c r="F11" s="409" t="s">
        <v>74</v>
      </c>
      <c r="G11" s="303"/>
      <c r="H11" s="304"/>
      <c r="J11" s="393" t="s">
        <v>74</v>
      </c>
      <c r="K11" s="394" t="s">
        <v>74</v>
      </c>
      <c r="L11" s="410"/>
      <c r="M11" s="410" t="s">
        <v>162</v>
      </c>
      <c r="N11" s="410"/>
      <c r="O11" s="410"/>
      <c r="P11" s="411"/>
    </row>
    <row r="12" customFormat="false" ht="9.75" hidden="false" customHeight="false" outlineLevel="0" collapsed="false">
      <c r="B12" s="412"/>
      <c r="C12" s="312" t="s">
        <v>104</v>
      </c>
      <c r="D12" s="413" t="s">
        <v>153</v>
      </c>
      <c r="E12" s="413" t="s">
        <v>154</v>
      </c>
      <c r="F12" s="413" t="s">
        <v>155</v>
      </c>
      <c r="G12" s="313"/>
      <c r="H12" s="315" t="s">
        <v>96</v>
      </c>
      <c r="J12" s="398" t="s">
        <v>157</v>
      </c>
      <c r="K12" s="399" t="s">
        <v>158</v>
      </c>
      <c r="L12" s="414" t="s">
        <v>151</v>
      </c>
      <c r="M12" s="414" t="s">
        <v>164</v>
      </c>
      <c r="N12" s="414"/>
      <c r="O12" s="414"/>
      <c r="P12" s="415"/>
      <c r="S12" s="416" t="s">
        <v>165</v>
      </c>
      <c r="T12" s="417"/>
      <c r="U12" s="417"/>
      <c r="V12" s="417"/>
    </row>
    <row r="13" customFormat="false" ht="9.75" hidden="false" customHeight="false" outlineLevel="0" collapsed="false">
      <c r="B13" s="316" t="s">
        <v>109</v>
      </c>
      <c r="C13" s="62"/>
      <c r="D13" s="251"/>
      <c r="E13" s="251"/>
      <c r="F13" s="251"/>
      <c r="G13" s="251"/>
      <c r="S13" s="418"/>
      <c r="T13" s="419"/>
      <c r="U13" s="261"/>
      <c r="V13" s="420" t="n">
        <f aca="false">+(T13-S13)*U13</f>
        <v>0</v>
      </c>
    </row>
    <row r="14" customFormat="false" ht="9.75" hidden="false" customHeight="false" outlineLevel="0" collapsed="false">
      <c r="B14" s="421"/>
      <c r="C14" s="422"/>
      <c r="D14" s="423"/>
      <c r="E14" s="424"/>
      <c r="F14" s="423"/>
      <c r="G14" s="425"/>
      <c r="H14" s="320"/>
      <c r="L14" s="392"/>
      <c r="M14" s="405"/>
      <c r="O14" s="426"/>
      <c r="S14" s="392"/>
      <c r="T14" s="405"/>
      <c r="U14" s="240"/>
      <c r="V14" s="420" t="n">
        <f aca="false">+(T14-S14)*U14</f>
        <v>0</v>
      </c>
    </row>
    <row r="15" customFormat="false" ht="9.75" hidden="false" customHeight="false" outlineLevel="0" collapsed="false">
      <c r="B15" s="329"/>
      <c r="C15" s="330"/>
      <c r="D15" s="61"/>
      <c r="E15" s="427"/>
      <c r="G15" s="428"/>
      <c r="H15" s="331"/>
      <c r="J15" s="429"/>
      <c r="K15" s="430"/>
      <c r="L15" s="392"/>
      <c r="M15" s="405"/>
      <c r="N15" s="392"/>
      <c r="O15" s="431" t="s">
        <v>166</v>
      </c>
      <c r="P15" s="432"/>
      <c r="S15" s="392"/>
      <c r="T15" s="392"/>
      <c r="U15" s="240"/>
      <c r="V15" s="420" t="n">
        <f aca="false">+(T15-S15)*U15</f>
        <v>0</v>
      </c>
    </row>
    <row r="16" customFormat="false" ht="9" hidden="false" customHeight="false" outlineLevel="0" collapsed="false">
      <c r="B16" s="329" t="s">
        <v>115</v>
      </c>
      <c r="C16" s="330" t="n">
        <v>21</v>
      </c>
      <c r="D16" s="61"/>
      <c r="E16" s="427"/>
      <c r="G16" s="428"/>
      <c r="H16" s="331" t="n">
        <f aca="false">+D16</f>
        <v>0</v>
      </c>
      <c r="J16" s="429" t="n">
        <v>22.5</v>
      </c>
      <c r="K16" s="433" t="n">
        <f aca="false">+'EOL LINKS'!H18</f>
        <v>22.5</v>
      </c>
      <c r="L16" s="392" t="n">
        <f aca="false">+K16-J16</f>
        <v>0</v>
      </c>
      <c r="M16" s="406" t="n">
        <f aca="false">+D16*L16</f>
        <v>0</v>
      </c>
      <c r="N16" s="392"/>
      <c r="O16" s="434"/>
      <c r="P16" s="435"/>
      <c r="S16" s="392"/>
      <c r="T16" s="392"/>
      <c r="U16" s="240"/>
      <c r="V16" s="420" t="n">
        <f aca="false">+(T16-S16)*U16</f>
        <v>0</v>
      </c>
    </row>
    <row r="17" customFormat="false" ht="10.5" hidden="false" customHeight="true" outlineLevel="0" collapsed="false">
      <c r="B17" s="340" t="s">
        <v>116</v>
      </c>
      <c r="C17" s="341" t="n">
        <v>20</v>
      </c>
      <c r="D17" s="436" t="n">
        <v>31605.5701933783</v>
      </c>
      <c r="E17" s="437"/>
      <c r="F17" s="342"/>
      <c r="G17" s="438"/>
      <c r="H17" s="343" t="n">
        <f aca="false">+D17</f>
        <v>31605.5701933783</v>
      </c>
      <c r="J17" s="429" t="n">
        <v>24.55</v>
      </c>
      <c r="K17" s="433" t="n">
        <f aca="false">+'EOL LINKS'!H19</f>
        <v>24.35</v>
      </c>
      <c r="L17" s="392" t="n">
        <f aca="false">+K17-J17</f>
        <v>-0.199999999999999</v>
      </c>
      <c r="M17" s="406" t="n">
        <f aca="false">+D17*L17</f>
        <v>-6321.11403867563</v>
      </c>
      <c r="N17" s="392"/>
      <c r="O17" s="434" t="s">
        <v>167</v>
      </c>
      <c r="P17" s="439" t="n">
        <f aca="false">+M9</f>
        <v>0</v>
      </c>
      <c r="S17" s="392"/>
      <c r="T17" s="405"/>
      <c r="U17" s="240"/>
      <c r="V17" s="420" t="n">
        <f aca="false">+(T17-S17)*U17</f>
        <v>0</v>
      </c>
    </row>
    <row r="18" customFormat="false" ht="10.5" hidden="false" customHeight="true" outlineLevel="0" collapsed="false">
      <c r="C18" s="61"/>
      <c r="D18" s="392"/>
      <c r="H18" s="61"/>
      <c r="J18" s="440" t="n">
        <v>23.5</v>
      </c>
      <c r="K18" s="440" t="n">
        <f aca="false">+((K15*$C$15)+(K16*$C$16)+(K17*$C$17))/(SUM($C$15:$C$17))</f>
        <v>23.4024390243902</v>
      </c>
      <c r="L18" s="392"/>
      <c r="M18" s="406"/>
      <c r="N18" s="392"/>
      <c r="O18" s="434"/>
      <c r="P18" s="439"/>
      <c r="S18" s="392"/>
      <c r="T18" s="392"/>
      <c r="U18" s="240"/>
      <c r="V18" s="420" t="n">
        <f aca="false">+(T18-S18)*U18</f>
        <v>0</v>
      </c>
      <c r="W18" s="441"/>
    </row>
    <row r="19" customFormat="false" ht="10.5" hidden="false" customHeight="true" outlineLevel="0" collapsed="false">
      <c r="B19" s="352" t="n">
        <v>2002</v>
      </c>
      <c r="C19" s="61"/>
      <c r="D19" s="392"/>
      <c r="H19" s="61"/>
      <c r="J19" s="429"/>
      <c r="K19" s="429"/>
      <c r="L19" s="392"/>
      <c r="M19" s="406"/>
      <c r="N19" s="392"/>
      <c r="O19" s="434"/>
      <c r="P19" s="439"/>
      <c r="S19" s="392"/>
      <c r="T19" s="405"/>
      <c r="U19" s="240"/>
      <c r="V19" s="420" t="n">
        <f aca="false">+(T19-S19)*U19</f>
        <v>0</v>
      </c>
    </row>
    <row r="20" customFormat="false" ht="10.5" hidden="false" customHeight="true" outlineLevel="0" collapsed="false">
      <c r="B20" s="355" t="s">
        <v>120</v>
      </c>
      <c r="C20" s="333" t="n">
        <v>22</v>
      </c>
      <c r="D20" s="334" t="n">
        <v>-121434.562675149</v>
      </c>
      <c r="E20" s="424"/>
      <c r="F20" s="333"/>
      <c r="G20" s="425"/>
      <c r="H20" s="320" t="n">
        <f aca="false">+D20</f>
        <v>-121434.562675149</v>
      </c>
      <c r="J20" s="429" t="n">
        <v>26.15</v>
      </c>
      <c r="K20" s="433" t="n">
        <f aca="false">+'EOL LINKS'!H20</f>
        <v>25.8</v>
      </c>
      <c r="L20" s="392" t="n">
        <f aca="false">+K20-J20</f>
        <v>-0.350000000000001</v>
      </c>
      <c r="M20" s="406" t="n">
        <f aca="false">+H20*L20</f>
        <v>42502.0969363024</v>
      </c>
      <c r="N20" s="392"/>
      <c r="O20" s="434"/>
      <c r="P20" s="435"/>
      <c r="S20" s="405"/>
      <c r="T20" s="405"/>
      <c r="U20" s="240"/>
      <c r="V20" s="420" t="n">
        <f aca="false">+(T20-S20)*U20</f>
        <v>0</v>
      </c>
    </row>
    <row r="21" customFormat="false" ht="10.5" hidden="false" customHeight="true" outlineLevel="0" collapsed="false">
      <c r="B21" s="344" t="s">
        <v>122</v>
      </c>
      <c r="C21" s="62" t="n">
        <v>20</v>
      </c>
      <c r="D21" s="261" t="n">
        <v>-110169.725859356</v>
      </c>
      <c r="E21" s="427"/>
      <c r="F21" s="61"/>
      <c r="G21" s="428"/>
      <c r="H21" s="331" t="n">
        <f aca="false">+D21</f>
        <v>-110169.725859356</v>
      </c>
      <c r="J21" s="429" t="n">
        <v>26.15</v>
      </c>
      <c r="K21" s="433" t="n">
        <f aca="false">+K20</f>
        <v>25.8</v>
      </c>
      <c r="L21" s="392" t="n">
        <f aca="false">+K21-J21</f>
        <v>-0.350000000000001</v>
      </c>
      <c r="M21" s="406" t="n">
        <f aca="false">+H21*L21</f>
        <v>38559.4040507747</v>
      </c>
      <c r="N21" s="392"/>
      <c r="O21" s="434" t="s">
        <v>168</v>
      </c>
      <c r="P21" s="439" t="n">
        <f aca="false">+M56</f>
        <v>478097.403853854</v>
      </c>
      <c r="S21" s="392"/>
      <c r="T21" s="392"/>
      <c r="U21" s="240"/>
      <c r="V21" s="420" t="n">
        <f aca="false">+(T21-S21)*U21</f>
        <v>0</v>
      </c>
      <c r="W21" s="441"/>
    </row>
    <row r="22" customFormat="false" ht="10.5" hidden="false" customHeight="true" outlineLevel="0" collapsed="false">
      <c r="B22" s="344" t="s">
        <v>124</v>
      </c>
      <c r="C22" s="62" t="n">
        <v>21</v>
      </c>
      <c r="D22" s="261" t="n">
        <v>-164935.067347311</v>
      </c>
      <c r="E22" s="427"/>
      <c r="F22" s="61"/>
      <c r="G22" s="428"/>
      <c r="H22" s="331" t="n">
        <f aca="false">+D22</f>
        <v>-164935.067347311</v>
      </c>
      <c r="J22" s="429" t="n">
        <v>25.5</v>
      </c>
      <c r="K22" s="433" t="n">
        <f aca="false">+'EOL LINKS'!H21</f>
        <v>25.3</v>
      </c>
      <c r="L22" s="392" t="n">
        <f aca="false">+K22-J22</f>
        <v>-0.199999999999999</v>
      </c>
      <c r="M22" s="406" t="n">
        <f aca="false">+H22*L22</f>
        <v>32987.0134694621</v>
      </c>
      <c r="N22" s="392"/>
      <c r="O22" s="434" t="s">
        <v>99</v>
      </c>
      <c r="P22" s="439" t="n">
        <f aca="false">+M72</f>
        <v>-683794.208648067</v>
      </c>
      <c r="S22" s="405"/>
      <c r="T22" s="392"/>
      <c r="U22" s="240"/>
      <c r="V22" s="420" t="n">
        <f aca="false">+(T22-S22)*U22</f>
        <v>0</v>
      </c>
      <c r="W22" s="441"/>
    </row>
    <row r="23" customFormat="false" ht="10.5" hidden="false" customHeight="true" outlineLevel="0" collapsed="false">
      <c r="B23" s="344" t="s">
        <v>126</v>
      </c>
      <c r="C23" s="62" t="n">
        <v>22</v>
      </c>
      <c r="D23" s="261" t="n">
        <v>-172392.185387725</v>
      </c>
      <c r="E23" s="427"/>
      <c r="F23" s="61"/>
      <c r="G23" s="428"/>
      <c r="H23" s="331" t="n">
        <f aca="false">+D23</f>
        <v>-172392.185387725</v>
      </c>
      <c r="J23" s="429" t="n">
        <v>25.5</v>
      </c>
      <c r="K23" s="433" t="n">
        <f aca="false">+K22</f>
        <v>25.3</v>
      </c>
      <c r="L23" s="392" t="n">
        <f aca="false">+K23-J23</f>
        <v>-0.199999999999999</v>
      </c>
      <c r="M23" s="406" t="n">
        <f aca="false">+H23*L23</f>
        <v>34478.4370775448</v>
      </c>
      <c r="N23" s="392"/>
      <c r="O23" s="434"/>
      <c r="P23" s="435"/>
      <c r="S23" s="442"/>
      <c r="T23" s="392"/>
      <c r="U23" s="240"/>
      <c r="V23" s="420" t="n">
        <f aca="false">+(T23-S23)*U23</f>
        <v>0</v>
      </c>
    </row>
    <row r="24" customFormat="false" ht="10.5" hidden="false" customHeight="true" outlineLevel="0" collapsed="false">
      <c r="B24" s="344" t="s">
        <v>127</v>
      </c>
      <c r="C24" s="62" t="n">
        <v>22</v>
      </c>
      <c r="D24" s="261" t="n">
        <v>-154798.25027834</v>
      </c>
      <c r="E24" s="427"/>
      <c r="F24" s="61"/>
      <c r="G24" s="428"/>
      <c r="H24" s="331" t="n">
        <f aca="false">+D24</f>
        <v>-154798.25027834</v>
      </c>
      <c r="J24" s="429" t="n">
        <v>27.75</v>
      </c>
      <c r="K24" s="433" t="n">
        <f aca="false">+'EOL LINKS'!H22</f>
        <v>27.55</v>
      </c>
      <c r="L24" s="392" t="n">
        <f aca="false">+K24-J24</f>
        <v>-0.199999999999999</v>
      </c>
      <c r="M24" s="406" t="n">
        <f aca="false">+H24*L24</f>
        <v>30959.6500556679</v>
      </c>
      <c r="N24" s="392"/>
      <c r="O24" s="434" t="s">
        <v>169</v>
      </c>
      <c r="P24" s="443"/>
      <c r="S24" s="405"/>
      <c r="T24" s="392"/>
      <c r="U24" s="240"/>
      <c r="V24" s="420" t="n">
        <f aca="false">+(T24-S24)*U24</f>
        <v>0</v>
      </c>
      <c r="W24" s="441"/>
    </row>
    <row r="25" customFormat="false" ht="10.5" hidden="false" customHeight="true" outlineLevel="0" collapsed="false">
      <c r="B25" s="344" t="s">
        <v>128</v>
      </c>
      <c r="C25" s="62" t="n">
        <v>20</v>
      </c>
      <c r="D25" s="261" t="n">
        <v>62389.9302053539</v>
      </c>
      <c r="E25" s="427"/>
      <c r="F25" s="61"/>
      <c r="G25" s="428"/>
      <c r="H25" s="331" t="n">
        <f aca="false">+D25</f>
        <v>62389.9302053539</v>
      </c>
      <c r="J25" s="429" t="n">
        <v>31.15</v>
      </c>
      <c r="K25" s="433" t="n">
        <f aca="false">+'EOL LINKS'!H23</f>
        <v>30.95</v>
      </c>
      <c r="L25" s="392" t="n">
        <f aca="false">+K25-J25</f>
        <v>-0.199999999999999</v>
      </c>
      <c r="M25" s="406" t="n">
        <f aca="false">+H25*L25</f>
        <v>-12477.9860410707</v>
      </c>
      <c r="N25" s="392"/>
      <c r="O25" s="434" t="s">
        <v>170</v>
      </c>
      <c r="P25" s="439" t="n">
        <f aca="false">+V51</f>
        <v>0</v>
      </c>
      <c r="S25" s="405"/>
      <c r="T25" s="392"/>
      <c r="U25" s="240"/>
      <c r="V25" s="420" t="n">
        <f aca="false">+(T25-S25)*U25</f>
        <v>0</v>
      </c>
    </row>
    <row r="26" customFormat="false" ht="10.5" hidden="false" customHeight="true" outlineLevel="0" collapsed="false">
      <c r="B26" s="344" t="s">
        <v>129</v>
      </c>
      <c r="C26" s="62" t="n">
        <v>22</v>
      </c>
      <c r="D26" s="261" t="n">
        <v>-119787.379055786</v>
      </c>
      <c r="E26" s="427"/>
      <c r="F26" s="61"/>
      <c r="G26" s="428"/>
      <c r="H26" s="331" t="n">
        <f aca="false">+D26</f>
        <v>-119787.379055786</v>
      </c>
      <c r="J26" s="429" t="n">
        <v>39.9</v>
      </c>
      <c r="K26" s="433" t="n">
        <f aca="false">+'EOL LINKS'!H24</f>
        <v>39.7</v>
      </c>
      <c r="L26" s="392" t="n">
        <f aca="false">+K26-J26</f>
        <v>-0.199999999999996</v>
      </c>
      <c r="M26" s="406" t="n">
        <f aca="false">+H26*L26</f>
        <v>23957.4758111567</v>
      </c>
      <c r="N26" s="392"/>
      <c r="O26" s="434"/>
      <c r="P26" s="435"/>
      <c r="S26" s="405"/>
      <c r="T26" s="392"/>
      <c r="U26" s="240"/>
      <c r="V26" s="420" t="n">
        <f aca="false">+(T26-S26)*U26</f>
        <v>0</v>
      </c>
      <c r="W26" s="441"/>
    </row>
    <row r="27" customFormat="false" ht="10.5" hidden="false" customHeight="true" outlineLevel="0" collapsed="false">
      <c r="B27" s="344" t="s">
        <v>130</v>
      </c>
      <c r="C27" s="62" t="n">
        <v>22</v>
      </c>
      <c r="D27" s="261" t="n">
        <v>-119458.740416252</v>
      </c>
      <c r="E27" s="427"/>
      <c r="F27" s="61"/>
      <c r="G27" s="428"/>
      <c r="H27" s="331" t="n">
        <f aca="false">+D27</f>
        <v>-119458.740416252</v>
      </c>
      <c r="J27" s="429" t="n">
        <v>39.9</v>
      </c>
      <c r="K27" s="433" t="n">
        <f aca="false">+K26</f>
        <v>39.7</v>
      </c>
      <c r="L27" s="392" t="n">
        <f aca="false">+K27-J27</f>
        <v>-0.199999999999996</v>
      </c>
      <c r="M27" s="406" t="n">
        <f aca="false">+H27*L27</f>
        <v>23891.7480832499</v>
      </c>
      <c r="N27" s="392"/>
      <c r="O27" s="444" t="s">
        <v>171</v>
      </c>
      <c r="P27" s="445" t="n">
        <f aca="false">SUM(P17:P25)</f>
        <v>-205696.804794213</v>
      </c>
      <c r="S27" s="405"/>
      <c r="T27" s="392"/>
      <c r="U27" s="240"/>
      <c r="V27" s="420" t="n">
        <f aca="false">+(T27-S27)*U27</f>
        <v>0</v>
      </c>
    </row>
    <row r="28" customFormat="false" ht="10.5" hidden="false" customHeight="true" outlineLevel="0" collapsed="false">
      <c r="B28" s="344" t="s">
        <v>131</v>
      </c>
      <c r="C28" s="62" t="n">
        <v>20</v>
      </c>
      <c r="D28" s="261" t="n">
        <v>-15468.8415975083</v>
      </c>
      <c r="E28" s="427"/>
      <c r="F28" s="61"/>
      <c r="G28" s="428"/>
      <c r="H28" s="331" t="n">
        <f aca="false">+D28</f>
        <v>-15468.8415975083</v>
      </c>
      <c r="J28" s="429" t="n">
        <v>28.3</v>
      </c>
      <c r="K28" s="433" t="n">
        <f aca="false">+'EOL LINKS'!H25</f>
        <v>28.1</v>
      </c>
      <c r="L28" s="392" t="n">
        <f aca="false">+K28-J28</f>
        <v>-0.199999999999999</v>
      </c>
      <c r="M28" s="406" t="n">
        <f aca="false">+H28*L28</f>
        <v>3093.76831950164</v>
      </c>
      <c r="N28" s="392"/>
      <c r="S28" s="405"/>
      <c r="T28" s="405"/>
      <c r="U28" s="240"/>
      <c r="V28" s="420"/>
      <c r="W28" s="392" t="n">
        <f aca="false">SUM(V3:V27)</f>
        <v>0</v>
      </c>
    </row>
    <row r="29" customFormat="false" ht="10.5" hidden="false" customHeight="true" outlineLevel="0" collapsed="false">
      <c r="B29" s="344" t="s">
        <v>114</v>
      </c>
      <c r="C29" s="62" t="n">
        <v>23</v>
      </c>
      <c r="D29" s="261" t="n">
        <v>-70940.9862902449</v>
      </c>
      <c r="E29" s="427"/>
      <c r="F29" s="61"/>
      <c r="G29" s="428"/>
      <c r="H29" s="331" t="n">
        <f aca="false">+D29</f>
        <v>-70940.9862902449</v>
      </c>
      <c r="J29" s="429" t="n">
        <v>27.25</v>
      </c>
      <c r="K29" s="433" t="n">
        <f aca="false">+'EOL LINKS'!H26</f>
        <v>27.125</v>
      </c>
      <c r="L29" s="392" t="n">
        <f aca="false">+K29-J29</f>
        <v>-0.125</v>
      </c>
      <c r="M29" s="406" t="n">
        <f aca="false">+H29*L29</f>
        <v>8867.62328628062</v>
      </c>
      <c r="N29" s="392"/>
      <c r="O29" s="62"/>
      <c r="P29" s="62"/>
      <c r="S29" s="446" t="s">
        <v>99</v>
      </c>
      <c r="T29" s="447"/>
      <c r="U29" s="417"/>
      <c r="V29" s="417"/>
    </row>
    <row r="30" customFormat="false" ht="10.5" hidden="false" customHeight="true" outlineLevel="0" collapsed="false">
      <c r="B30" s="344" t="s">
        <v>115</v>
      </c>
      <c r="C30" s="62" t="n">
        <v>20</v>
      </c>
      <c r="D30" s="261" t="n">
        <v>-61495.2174944241</v>
      </c>
      <c r="E30" s="427"/>
      <c r="F30" s="61"/>
      <c r="G30" s="428"/>
      <c r="H30" s="331" t="n">
        <f aca="false">+D30</f>
        <v>-61495.2174944241</v>
      </c>
      <c r="J30" s="429" t="n">
        <v>27.25</v>
      </c>
      <c r="K30" s="433" t="n">
        <f aca="false">+K29</f>
        <v>27.125</v>
      </c>
      <c r="L30" s="392" t="n">
        <f aca="false">+K30-J30</f>
        <v>-0.125</v>
      </c>
      <c r="M30" s="406" t="n">
        <f aca="false">+H30*L30</f>
        <v>7686.90218680301</v>
      </c>
      <c r="N30" s="392"/>
      <c r="O30" s="448" t="s">
        <v>48</v>
      </c>
      <c r="P30" s="449" t="n">
        <f aca="false">+P27-P31</f>
        <v>478097.403853854</v>
      </c>
      <c r="S30" s="419"/>
      <c r="T30" s="419"/>
      <c r="U30" s="261"/>
      <c r="V30" s="405" t="n">
        <f aca="false">+(T30-S30)*U30</f>
        <v>0</v>
      </c>
    </row>
    <row r="31" customFormat="false" ht="10.5" hidden="false" customHeight="true" outlineLevel="0" collapsed="false">
      <c r="B31" s="360" t="s">
        <v>134</v>
      </c>
      <c r="C31" s="361" t="n">
        <v>21</v>
      </c>
      <c r="D31" s="450" t="n">
        <v>-64361.3007293619</v>
      </c>
      <c r="E31" s="437"/>
      <c r="F31" s="436"/>
      <c r="G31" s="438"/>
      <c r="H31" s="343" t="n">
        <f aca="false">+D31</f>
        <v>-64361.3007293619</v>
      </c>
      <c r="J31" s="429" t="n">
        <v>27.25</v>
      </c>
      <c r="K31" s="451" t="n">
        <f aca="false">+K30</f>
        <v>27.125</v>
      </c>
      <c r="L31" s="392" t="n">
        <f aca="false">+K31-J31</f>
        <v>-0.125</v>
      </c>
      <c r="M31" s="406" t="n">
        <f aca="false">+H31*L31</f>
        <v>8045.16259117024</v>
      </c>
      <c r="N31" s="392"/>
      <c r="O31" s="452" t="s">
        <v>49</v>
      </c>
      <c r="P31" s="453" t="n">
        <f aca="false">+P22+W49</f>
        <v>-683794.208648067</v>
      </c>
      <c r="S31" s="419"/>
      <c r="T31" s="419"/>
      <c r="U31" s="261"/>
      <c r="V31" s="405" t="n">
        <f aca="false">+(T31-S31)*U31</f>
        <v>0</v>
      </c>
    </row>
    <row r="32" customFormat="false" ht="10.5" hidden="false" customHeight="true" outlineLevel="0" collapsed="false">
      <c r="C32" s="284" t="n">
        <f aca="false">SUM(C20:C31)</f>
        <v>255</v>
      </c>
      <c r="D32" s="283" t="n">
        <f aca="false">SUM(D20:D31)</f>
        <v>-1112852.3269261</v>
      </c>
      <c r="E32" s="283"/>
      <c r="F32" s="61"/>
      <c r="H32" s="61" t="n">
        <f aca="false">SUM(H20:H31)</f>
        <v>-1112852.3269261</v>
      </c>
      <c r="J32" s="454" t="n">
        <v>29.3878431372549</v>
      </c>
      <c r="K32" s="455" t="n">
        <f aca="false">(((+K20*$C$20)+(K21*$C$21)+(K22*$C$22)+(K23*$C$23)+(K24*$C$24)+(K25*$C$25)+(K26*$C$26)+(K27*$C$27)+(K28*$C$28)+(K29*$C$29)+(K30*$C$30)+(K31*$C$31))/$C$32)</f>
        <v>29.1819607843137</v>
      </c>
      <c r="L32" s="456" t="n">
        <f aca="false">+K32-J32</f>
        <v>-0.205882352941181</v>
      </c>
      <c r="M32" s="457"/>
      <c r="N32" s="406"/>
      <c r="S32" s="419"/>
      <c r="T32" s="419"/>
      <c r="U32" s="261"/>
      <c r="V32" s="405" t="n">
        <f aca="false">+(T32-S32)*U32</f>
        <v>0</v>
      </c>
    </row>
    <row r="33" customFormat="false" ht="10.5" hidden="false" customHeight="true" outlineLevel="0" collapsed="false">
      <c r="C33" s="1"/>
      <c r="D33" s="1"/>
      <c r="E33" s="1"/>
      <c r="J33" s="458" t="n">
        <v>29.35</v>
      </c>
      <c r="K33" s="459" t="n">
        <f aca="false">+'EOL LINKS'!H27</f>
        <v>29.2</v>
      </c>
      <c r="L33" s="460"/>
      <c r="M33" s="461"/>
      <c r="N33" s="462"/>
      <c r="Q33" s="405"/>
      <c r="S33" s="419"/>
      <c r="T33" s="419"/>
      <c r="U33" s="261"/>
      <c r="V33" s="405" t="n">
        <f aca="false">+(T33-S33)*U33</f>
        <v>0</v>
      </c>
    </row>
    <row r="34" customFormat="false" ht="10.5" hidden="false" customHeight="true" outlineLevel="0" collapsed="false">
      <c r="B34" s="352" t="n">
        <v>2003</v>
      </c>
      <c r="C34" s="61"/>
      <c r="D34" s="350"/>
      <c r="H34" s="61"/>
      <c r="J34" s="463"/>
      <c r="K34" s="350"/>
      <c r="L34" s="464"/>
      <c r="M34" s="463"/>
      <c r="N34" s="462"/>
      <c r="Q34" s="405"/>
      <c r="S34" s="419"/>
      <c r="T34" s="419"/>
      <c r="U34" s="261"/>
      <c r="V34" s="405" t="n">
        <f aca="false">+(T34-S34)*U34</f>
        <v>0</v>
      </c>
    </row>
    <row r="35" customFormat="false" ht="10.5" hidden="false" customHeight="true" outlineLevel="0" collapsed="false">
      <c r="B35" s="355" t="s">
        <v>120</v>
      </c>
      <c r="C35" s="333" t="n">
        <v>22</v>
      </c>
      <c r="D35" s="334" t="n">
        <v>0</v>
      </c>
      <c r="E35" s="319"/>
      <c r="F35" s="319"/>
      <c r="G35" s="319"/>
      <c r="H35" s="465" t="n">
        <f aca="false">+D35</f>
        <v>0</v>
      </c>
      <c r="J35" s="392" t="n">
        <v>30.3</v>
      </c>
      <c r="K35" s="466" t="n">
        <f aca="false">+'EOL LINKS'!H31</f>
        <v>30.1</v>
      </c>
      <c r="L35" s="392" t="n">
        <f aca="false">+K35-J35</f>
        <v>-0.199999999999999</v>
      </c>
      <c r="M35" s="406" t="n">
        <f aca="false">+H35*L35</f>
        <v>-0</v>
      </c>
      <c r="N35" s="462"/>
      <c r="Q35" s="405"/>
      <c r="S35" s="419"/>
      <c r="T35" s="419"/>
      <c r="U35" s="261"/>
      <c r="V35" s="405" t="n">
        <f aca="false">+(T35-S35)*U35</f>
        <v>0</v>
      </c>
    </row>
    <row r="36" customFormat="false" ht="10.5" hidden="false" customHeight="true" outlineLevel="0" collapsed="false">
      <c r="B36" s="344" t="s">
        <v>122</v>
      </c>
      <c r="C36" s="62" t="n">
        <v>20</v>
      </c>
      <c r="D36" s="261" t="n">
        <v>0</v>
      </c>
      <c r="H36" s="467" t="n">
        <f aca="false">+D36</f>
        <v>0</v>
      </c>
      <c r="J36" s="392" t="n">
        <v>30.3</v>
      </c>
      <c r="K36" s="433" t="n">
        <f aca="false">+K35</f>
        <v>30.1</v>
      </c>
      <c r="L36" s="392" t="n">
        <f aca="false">+K36-J36</f>
        <v>-0.199999999999999</v>
      </c>
      <c r="M36" s="406" t="n">
        <f aca="false">+H36*L36</f>
        <v>-0</v>
      </c>
      <c r="N36" s="462"/>
      <c r="Q36" s="405"/>
      <c r="S36" s="419"/>
      <c r="T36" s="419"/>
      <c r="U36" s="261"/>
      <c r="V36" s="405" t="n">
        <f aca="false">+(T36-S36)*U36</f>
        <v>0</v>
      </c>
    </row>
    <row r="37" customFormat="false" ht="10.5" hidden="false" customHeight="true" outlineLevel="0" collapsed="false">
      <c r="B37" s="344" t="s">
        <v>124</v>
      </c>
      <c r="C37" s="62" t="n">
        <v>21</v>
      </c>
      <c r="D37" s="261" t="n">
        <v>-31854.1488871944</v>
      </c>
      <c r="H37" s="467" t="n">
        <f aca="false">+D37</f>
        <v>-31854.1488871944</v>
      </c>
      <c r="J37" s="392" t="n">
        <v>29.1</v>
      </c>
      <c r="K37" s="433" t="n">
        <f aca="false">+'EOL LINKS'!H32</f>
        <v>28.9</v>
      </c>
      <c r="L37" s="392" t="n">
        <f aca="false">+K37-J37</f>
        <v>-0.200000000000003</v>
      </c>
      <c r="M37" s="406" t="n">
        <f aca="false">+H37*L37</f>
        <v>6370.82977743896</v>
      </c>
      <c r="N37" s="462"/>
      <c r="Q37" s="405"/>
      <c r="S37" s="419"/>
      <c r="T37" s="419"/>
      <c r="U37" s="261"/>
      <c r="V37" s="405" t="n">
        <f aca="false">+(T37-S37)*U37</f>
        <v>0</v>
      </c>
    </row>
    <row r="38" customFormat="false" ht="10.5" hidden="false" customHeight="true" outlineLevel="0" collapsed="false">
      <c r="B38" s="344" t="s">
        <v>126</v>
      </c>
      <c r="C38" s="62" t="n">
        <v>22</v>
      </c>
      <c r="D38" s="261" t="n">
        <v>-33247.5502850214</v>
      </c>
      <c r="H38" s="467" t="n">
        <f aca="false">+D38</f>
        <v>-33247.5502850214</v>
      </c>
      <c r="J38" s="392" t="n">
        <v>29.1</v>
      </c>
      <c r="K38" s="433" t="n">
        <f aca="false">+K37</f>
        <v>28.9</v>
      </c>
      <c r="L38" s="392" t="n">
        <f aca="false">+K38-J38</f>
        <v>-0.200000000000003</v>
      </c>
      <c r="M38" s="406" t="n">
        <f aca="false">+H38*L38</f>
        <v>6649.51005700437</v>
      </c>
      <c r="N38" s="462"/>
      <c r="Q38" s="405"/>
      <c r="S38" s="419"/>
      <c r="T38" s="419"/>
      <c r="U38" s="261"/>
      <c r="V38" s="405" t="n">
        <f aca="false">+(T38-S38)*U38</f>
        <v>0</v>
      </c>
    </row>
    <row r="39" customFormat="false" ht="10.5" hidden="false" customHeight="true" outlineLevel="0" collapsed="false">
      <c r="B39" s="344" t="s">
        <v>127</v>
      </c>
      <c r="C39" s="62" t="n">
        <v>21</v>
      </c>
      <c r="D39" s="261" t="n">
        <v>-31618.2646229894</v>
      </c>
      <c r="H39" s="467" t="n">
        <f aca="false">+D39</f>
        <v>-31618.2646229894</v>
      </c>
      <c r="J39" s="392" t="n">
        <v>31.35</v>
      </c>
      <c r="K39" s="433" t="n">
        <f aca="false">+'EOL LINKS'!H33</f>
        <v>31.15</v>
      </c>
      <c r="L39" s="392" t="n">
        <f aca="false">+K39-J39</f>
        <v>-0.200000000000003</v>
      </c>
      <c r="M39" s="406" t="n">
        <f aca="false">+H39*L39</f>
        <v>6323.65292459797</v>
      </c>
      <c r="N39" s="462"/>
      <c r="Q39" s="405"/>
      <c r="S39" s="419"/>
      <c r="T39" s="419"/>
      <c r="U39" s="261"/>
      <c r="V39" s="405" t="n">
        <f aca="false">+(T39-S39)*U39</f>
        <v>0</v>
      </c>
    </row>
    <row r="40" customFormat="false" ht="10.5" hidden="false" customHeight="true" outlineLevel="0" collapsed="false">
      <c r="B40" s="344" t="s">
        <v>128</v>
      </c>
      <c r="C40" s="62" t="n">
        <v>21</v>
      </c>
      <c r="D40" s="261" t="n">
        <v>-78741.3757349434</v>
      </c>
      <c r="H40" s="467" t="n">
        <f aca="false">+D40</f>
        <v>-78741.3757349434</v>
      </c>
      <c r="J40" s="392" t="n">
        <v>35.05</v>
      </c>
      <c r="K40" s="433" t="n">
        <f aca="false">+'EOL LINKS'!H34</f>
        <v>34.85</v>
      </c>
      <c r="L40" s="392" t="n">
        <f aca="false">+K40-J40</f>
        <v>-0.199999999999996</v>
      </c>
      <c r="M40" s="406" t="n">
        <f aca="false">+H40*L40</f>
        <v>15748.2751469884</v>
      </c>
      <c r="N40" s="462"/>
      <c r="Q40" s="405"/>
      <c r="S40" s="419"/>
      <c r="T40" s="419"/>
      <c r="U40" s="261"/>
      <c r="V40" s="405" t="n">
        <f aca="false">+(T40-S40)*U40</f>
        <v>0</v>
      </c>
    </row>
    <row r="41" customFormat="false" ht="10.5" hidden="false" customHeight="true" outlineLevel="0" collapsed="false">
      <c r="B41" s="344" t="s">
        <v>129</v>
      </c>
      <c r="C41" s="62" t="n">
        <v>22</v>
      </c>
      <c r="D41" s="261" t="n">
        <v>-49302.5919288828</v>
      </c>
      <c r="H41" s="467" t="n">
        <f aca="false">+D41</f>
        <v>-49302.5919288828</v>
      </c>
      <c r="J41" s="392" t="n">
        <v>43.75</v>
      </c>
      <c r="K41" s="433" t="n">
        <f aca="false">+'EOL LINKS'!H35</f>
        <v>43.55</v>
      </c>
      <c r="L41" s="392" t="n">
        <f aca="false">+K41-J41</f>
        <v>-0.200000000000003</v>
      </c>
      <c r="M41" s="406" t="n">
        <f aca="false">+H41*L41</f>
        <v>9860.51838577669</v>
      </c>
      <c r="N41" s="462"/>
      <c r="Q41" s="405"/>
      <c r="S41" s="419"/>
      <c r="T41" s="419"/>
      <c r="U41" s="261"/>
      <c r="V41" s="405" t="n">
        <f aca="false">+(T41-S41)*U41</f>
        <v>0</v>
      </c>
    </row>
    <row r="42" customFormat="false" ht="10.5" hidden="false" customHeight="true" outlineLevel="0" collapsed="false">
      <c r="B42" s="344" t="s">
        <v>130</v>
      </c>
      <c r="C42" s="62" t="n">
        <v>21</v>
      </c>
      <c r="D42" s="261" t="n">
        <v>-46872.1370773844</v>
      </c>
      <c r="H42" s="467" t="n">
        <f aca="false">+D42</f>
        <v>-46872.1370773844</v>
      </c>
      <c r="J42" s="392" t="n">
        <v>43.75</v>
      </c>
      <c r="K42" s="433" t="n">
        <f aca="false">+K41</f>
        <v>43.55</v>
      </c>
      <c r="L42" s="392" t="n">
        <f aca="false">+K42-J42</f>
        <v>-0.200000000000003</v>
      </c>
      <c r="M42" s="406" t="n">
        <f aca="false">+H42*L42</f>
        <v>9374.42741547702</v>
      </c>
      <c r="N42" s="462"/>
      <c r="Q42" s="405"/>
      <c r="S42" s="419"/>
      <c r="T42" s="419"/>
      <c r="U42" s="261"/>
      <c r="V42" s="405" t="n">
        <f aca="false">+(T42-S42)*U42</f>
        <v>0</v>
      </c>
    </row>
    <row r="43" customFormat="false" ht="10.5" hidden="false" customHeight="true" outlineLevel="0" collapsed="false">
      <c r="B43" s="344" t="s">
        <v>131</v>
      </c>
      <c r="C43" s="62" t="n">
        <v>21</v>
      </c>
      <c r="D43" s="261" t="n">
        <v>31118.3707188461</v>
      </c>
      <c r="H43" s="467" t="n">
        <f aca="false">+D43</f>
        <v>31118.3707188461</v>
      </c>
      <c r="J43" s="392" t="n">
        <v>31.45</v>
      </c>
      <c r="K43" s="433" t="n">
        <f aca="false">+'EOL LINKS'!H36</f>
        <v>31.25</v>
      </c>
      <c r="L43" s="392" t="n">
        <f aca="false">+K43-J43</f>
        <v>-0.199999999999999</v>
      </c>
      <c r="M43" s="406" t="n">
        <f aca="false">+H43*L43</f>
        <v>-6223.67414376921</v>
      </c>
      <c r="N43" s="462"/>
      <c r="Q43" s="405"/>
      <c r="S43" s="419"/>
      <c r="T43" s="419"/>
      <c r="U43" s="261"/>
      <c r="V43" s="405" t="n">
        <f aca="false">+(T43-S43)*U43</f>
        <v>0</v>
      </c>
    </row>
    <row r="44" customFormat="false" ht="10.5" hidden="false" customHeight="true" outlineLevel="0" collapsed="false">
      <c r="B44" s="344" t="s">
        <v>114</v>
      </c>
      <c r="C44" s="62" t="n">
        <v>23</v>
      </c>
      <c r="D44" s="261" t="n">
        <v>-16970.4534689277</v>
      </c>
      <c r="H44" s="467" t="n">
        <f aca="false">+D44</f>
        <v>-16970.4534689277</v>
      </c>
      <c r="J44" s="392" t="n">
        <v>29.65</v>
      </c>
      <c r="K44" s="433" t="n">
        <f aca="false">+'EOL LINKS'!H37</f>
        <v>29.55</v>
      </c>
      <c r="L44" s="392" t="n">
        <f aca="false">+K44-J44</f>
        <v>-0.0999999999999979</v>
      </c>
      <c r="M44" s="406" t="n">
        <f aca="false">+H44*L44</f>
        <v>1697.04534689273</v>
      </c>
      <c r="N44" s="462"/>
      <c r="Q44" s="405"/>
      <c r="S44" s="419"/>
      <c r="T44" s="419"/>
      <c r="U44" s="261"/>
      <c r="V44" s="405" t="n">
        <f aca="false">+(T44-S44)*U44</f>
        <v>0</v>
      </c>
    </row>
    <row r="45" customFormat="false" ht="10.5" hidden="false" customHeight="true" outlineLevel="0" collapsed="false">
      <c r="B45" s="344" t="s">
        <v>115</v>
      </c>
      <c r="C45" s="62" t="n">
        <v>19</v>
      </c>
      <c r="D45" s="261" t="n">
        <v>-13959.6388940026</v>
      </c>
      <c r="H45" s="467" t="n">
        <f aca="false">+D45</f>
        <v>-13959.6388940026</v>
      </c>
      <c r="J45" s="392" t="n">
        <v>29.65</v>
      </c>
      <c r="K45" s="433" t="n">
        <f aca="false">+K44</f>
        <v>29.55</v>
      </c>
      <c r="L45" s="392" t="n">
        <f aca="false">+K45-J45</f>
        <v>-0.0999999999999979</v>
      </c>
      <c r="M45" s="406" t="n">
        <f aca="false">+H45*L45</f>
        <v>1395.96388940023</v>
      </c>
      <c r="N45" s="462"/>
      <c r="Q45" s="405"/>
      <c r="S45" s="419"/>
      <c r="T45" s="419"/>
      <c r="U45" s="261"/>
      <c r="V45" s="405" t="n">
        <f aca="false">+(T45-S45)*U45</f>
        <v>0</v>
      </c>
    </row>
    <row r="46" customFormat="false" ht="10.5" hidden="false" customHeight="true" outlineLevel="0" collapsed="false">
      <c r="B46" s="360" t="s">
        <v>134</v>
      </c>
      <c r="C46" s="361" t="n">
        <v>22</v>
      </c>
      <c r="D46" s="450" t="n">
        <v>-16095.1736496753</v>
      </c>
      <c r="E46" s="342"/>
      <c r="F46" s="342"/>
      <c r="G46" s="342"/>
      <c r="H46" s="468" t="n">
        <f aca="false">+D46</f>
        <v>-16095.1736496753</v>
      </c>
      <c r="J46" s="392" t="n">
        <v>29.65</v>
      </c>
      <c r="K46" s="451" t="n">
        <f aca="false">+K45</f>
        <v>29.55</v>
      </c>
      <c r="L46" s="392" t="n">
        <f aca="false">+K46-J46</f>
        <v>-0.0999999999999979</v>
      </c>
      <c r="M46" s="406" t="n">
        <f aca="false">+H46*L46</f>
        <v>1609.5173649675</v>
      </c>
      <c r="N46" s="462"/>
      <c r="Q46" s="405"/>
      <c r="S46" s="419"/>
      <c r="T46" s="419"/>
      <c r="U46" s="261"/>
      <c r="V46" s="405" t="n">
        <f aca="false">+(T46-S46)*U46</f>
        <v>0</v>
      </c>
    </row>
    <row r="47" customFormat="false" ht="10.5" hidden="false" customHeight="true" outlineLevel="0" collapsed="false">
      <c r="B47" s="351"/>
      <c r="C47" s="113" t="n">
        <f aca="false">SUM(C35:C46)</f>
        <v>255</v>
      </c>
      <c r="D47" s="261" t="n">
        <f aca="false">SUM(D35:D46)</f>
        <v>-287542.963830175</v>
      </c>
      <c r="H47" s="61" t="n">
        <f aca="false">SUM(H35:H46)</f>
        <v>-287542.963830175</v>
      </c>
      <c r="J47" s="454" t="n">
        <v>32.7749019607843</v>
      </c>
      <c r="K47" s="455" t="n">
        <f aca="false">(((+K35*$C$35)+(K36*$C$36)+(K37*$C$37)+(K38*$C$38)+(K39*$C$39)+(K40*$C$40)+(K41*$C$41)+(K42*$C$42)+(K43*$C$43)+(K44*$C$44)+(K45*$C$45)+(K46*$C$46))/$C$47)</f>
        <v>32.6</v>
      </c>
      <c r="L47" s="456" t="n">
        <f aca="false">+K47-J47</f>
        <v>-0.174901960784304</v>
      </c>
      <c r="M47" s="457"/>
      <c r="N47" s="462"/>
      <c r="Q47" s="405"/>
      <c r="S47" s="419"/>
      <c r="T47" s="419"/>
      <c r="U47" s="261"/>
      <c r="V47" s="405" t="n">
        <f aca="false">+(T47-S47)*U47</f>
        <v>0</v>
      </c>
    </row>
    <row r="48" customFormat="false" ht="10.5" hidden="false" customHeight="true" outlineLevel="0" collapsed="false">
      <c r="B48" s="351"/>
      <c r="C48" s="62"/>
      <c r="D48" s="261"/>
      <c r="H48" s="61"/>
      <c r="J48" s="458"/>
      <c r="K48" s="469"/>
      <c r="L48" s="460"/>
      <c r="M48" s="461"/>
      <c r="N48" s="462"/>
      <c r="Q48" s="405"/>
      <c r="S48" s="419"/>
      <c r="T48" s="419"/>
      <c r="U48" s="261"/>
      <c r="V48" s="405" t="n">
        <f aca="false">+(T48-S48)*U48</f>
        <v>0</v>
      </c>
    </row>
    <row r="49" customFormat="false" ht="10.5" hidden="false" customHeight="true" outlineLevel="0" collapsed="false">
      <c r="C49" s="1"/>
      <c r="D49" s="1"/>
      <c r="E49" s="1"/>
      <c r="J49" s="463"/>
      <c r="K49" s="350"/>
      <c r="L49" s="464"/>
      <c r="M49" s="463"/>
      <c r="N49" s="462"/>
      <c r="Q49" s="405"/>
      <c r="S49" s="419"/>
      <c r="T49" s="419"/>
      <c r="U49" s="261"/>
      <c r="V49" s="405"/>
      <c r="W49" s="406" t="n">
        <f aca="false">SUM(V30:V48)</f>
        <v>0</v>
      </c>
    </row>
    <row r="50" customFormat="false" ht="10.5" hidden="false" customHeight="true" outlineLevel="0" collapsed="false">
      <c r="B50" s="470" t="s">
        <v>94</v>
      </c>
      <c r="C50" s="281" t="n">
        <v>257</v>
      </c>
      <c r="D50" s="471" t="n">
        <v>-555120</v>
      </c>
      <c r="E50" s="281"/>
      <c r="F50" s="472"/>
      <c r="G50" s="473"/>
      <c r="H50" s="474" t="n">
        <f aca="false">+D50</f>
        <v>-555120</v>
      </c>
      <c r="J50" s="392" t="n">
        <v>34</v>
      </c>
      <c r="K50" s="466" t="n">
        <f aca="false">+'EOL LINKS'!H29</f>
        <v>33.8</v>
      </c>
      <c r="L50" s="392" t="n">
        <f aca="false">+K50-J50</f>
        <v>-0.200000000000003</v>
      </c>
      <c r="M50" s="137" t="n">
        <f aca="false">+D50*L50</f>
        <v>111024.000000002</v>
      </c>
      <c r="S50" s="475"/>
      <c r="T50" s="475"/>
    </row>
    <row r="51" customFormat="false" ht="10.5" hidden="false" customHeight="true" outlineLevel="0" collapsed="false">
      <c r="B51" s="476" t="s">
        <v>95</v>
      </c>
      <c r="C51" s="477" t="n">
        <v>255</v>
      </c>
      <c r="D51" s="478" t="n">
        <v>-342720</v>
      </c>
      <c r="E51" s="477"/>
      <c r="F51" s="479"/>
      <c r="G51" s="480"/>
      <c r="H51" s="481" t="n">
        <f aca="false">+D51</f>
        <v>-342720</v>
      </c>
      <c r="J51" s="392" t="n">
        <v>34.85</v>
      </c>
      <c r="K51" s="433" t="n">
        <f aca="false">+'EOL LINKS'!H30</f>
        <v>34.75</v>
      </c>
      <c r="L51" s="392" t="n">
        <f aca="false">+K51-J51</f>
        <v>-0.100000000000001</v>
      </c>
      <c r="M51" s="137" t="n">
        <f aca="false">+D51*L51</f>
        <v>34272.0000000005</v>
      </c>
      <c r="N51" s="392"/>
      <c r="S51" s="1" t="s">
        <v>172</v>
      </c>
      <c r="V51" s="392" t="n">
        <f aca="false">SUM(V3:V48)</f>
        <v>0</v>
      </c>
    </row>
    <row r="52" customFormat="false" ht="10.5" hidden="false" customHeight="true" outlineLevel="0" collapsed="false">
      <c r="B52" s="482" t="s">
        <v>173</v>
      </c>
      <c r="C52" s="483"/>
      <c r="D52" s="484"/>
      <c r="E52" s="485"/>
      <c r="F52" s="484"/>
      <c r="G52" s="486"/>
      <c r="H52" s="487" t="n">
        <f aca="false">+D52</f>
        <v>0</v>
      </c>
      <c r="J52" s="392" t="n">
        <v>19.45</v>
      </c>
      <c r="K52" s="488" t="n">
        <f aca="false">+'EOL LINKS'!H16</f>
        <v>19.45</v>
      </c>
      <c r="L52" s="392" t="n">
        <f aca="false">+K52-J52</f>
        <v>0</v>
      </c>
      <c r="M52" s="137" t="n">
        <f aca="false">+H52*L52</f>
        <v>0</v>
      </c>
    </row>
    <row r="53" customFormat="false" ht="9" hidden="false" customHeight="false" outlineLevel="0" collapsed="false">
      <c r="B53" s="489" t="s">
        <v>174</v>
      </c>
      <c r="C53" s="490"/>
      <c r="D53" s="491" t="n">
        <v>-218825.77950455</v>
      </c>
      <c r="E53" s="492"/>
      <c r="F53" s="491"/>
      <c r="G53" s="493"/>
      <c r="H53" s="494" t="n">
        <f aca="false">+D53</f>
        <v>-218825.77950455</v>
      </c>
      <c r="J53" s="392" t="n">
        <v>22.25</v>
      </c>
      <c r="K53" s="488" t="n">
        <f aca="false">+'EOL LINKS'!H15</f>
        <v>22.05</v>
      </c>
      <c r="L53" s="392" t="n">
        <f aca="false">+K53-J53</f>
        <v>-0.199999999999999</v>
      </c>
      <c r="M53" s="137" t="n">
        <f aca="false">+H53*L53</f>
        <v>43765.1559009098</v>
      </c>
    </row>
    <row r="54" customFormat="false" ht="9.75" hidden="false" customHeight="false" outlineLevel="0" collapsed="false">
      <c r="B54" s="495" t="s">
        <v>175</v>
      </c>
      <c r="C54" s="496"/>
      <c r="D54" s="497" t="n">
        <v>-210240</v>
      </c>
      <c r="E54" s="498"/>
      <c r="F54" s="497"/>
      <c r="G54" s="499"/>
      <c r="H54" s="500" t="n">
        <f aca="false">+D54</f>
        <v>-210240</v>
      </c>
      <c r="J54" s="392" t="n">
        <v>22.75</v>
      </c>
      <c r="K54" s="501" t="n">
        <f aca="false">+'EOL LINKS'!H14</f>
        <v>22.55</v>
      </c>
      <c r="L54" s="392" t="n">
        <f aca="false">+K54-J54</f>
        <v>-0.199999999999999</v>
      </c>
      <c r="M54" s="137" t="n">
        <f aca="false">+H54*L54</f>
        <v>42047.9999999999</v>
      </c>
    </row>
    <row r="55" customFormat="false" ht="9" hidden="false" customHeight="false" outlineLevel="0" collapsed="false">
      <c r="B55" s="502"/>
      <c r="C55" s="463"/>
      <c r="D55" s="61"/>
      <c r="E55" s="503"/>
      <c r="F55" s="61"/>
      <c r="G55" s="375"/>
      <c r="H55" s="61"/>
      <c r="L55" s="463"/>
    </row>
    <row r="56" customFormat="false" ht="9.75" hidden="false" customHeight="false" outlineLevel="0" collapsed="false">
      <c r="J56" s="350" t="s">
        <v>176</v>
      </c>
      <c r="K56" s="419"/>
      <c r="L56" s="504"/>
      <c r="M56" s="505" t="n">
        <f aca="false">SUM(M15:M53)</f>
        <v>478097.403853854</v>
      </c>
    </row>
    <row r="57" customFormat="false" ht="9" hidden="false" customHeight="false" outlineLevel="0" collapsed="false">
      <c r="B57" s="296"/>
      <c r="C57" s="297"/>
      <c r="D57" s="297"/>
      <c r="E57" s="297" t="s">
        <v>177</v>
      </c>
      <c r="F57" s="298"/>
      <c r="J57" s="506"/>
      <c r="K57" s="221"/>
      <c r="L57" s="396"/>
      <c r="M57" s="507"/>
      <c r="O57" s="508" t="s">
        <v>120</v>
      </c>
      <c r="P57" s="334" t="n">
        <v>22</v>
      </c>
      <c r="Q57" s="334" t="n">
        <v>50</v>
      </c>
      <c r="R57" s="509" t="n">
        <f aca="false">+Positions!AB23</f>
        <v>0.985670151584004</v>
      </c>
      <c r="S57" s="510" t="n">
        <f aca="false">((+Q57*16)*P57)*R57</f>
        <v>17347.7946678785</v>
      </c>
    </row>
    <row r="58" customFormat="false" ht="9.75" hidden="false" customHeight="false" outlineLevel="0" collapsed="false">
      <c r="B58" s="305" t="s">
        <v>105</v>
      </c>
      <c r="C58" s="308"/>
      <c r="D58" s="308"/>
      <c r="E58" s="308"/>
      <c r="F58" s="309"/>
      <c r="J58" s="511" t="s">
        <v>178</v>
      </c>
      <c r="K58" s="231"/>
      <c r="L58" s="401"/>
      <c r="M58" s="512"/>
      <c r="N58" s="463"/>
      <c r="O58" s="513" t="s">
        <v>122</v>
      </c>
      <c r="P58" s="261" t="n">
        <v>20</v>
      </c>
      <c r="Q58" s="261" t="n">
        <v>50</v>
      </c>
      <c r="R58" s="514" t="n">
        <f aca="false">+Positions!AB24</f>
        <v>0.983658266601392</v>
      </c>
      <c r="S58" s="515" t="n">
        <f aca="false">((+Q58*16)*P58)*R58</f>
        <v>15738.5322656223</v>
      </c>
    </row>
    <row r="59" customFormat="false" ht="9" hidden="false" customHeight="false" outlineLevel="0" collapsed="false">
      <c r="B59" s="516"/>
      <c r="C59" s="517"/>
      <c r="D59" s="517"/>
      <c r="E59" s="517"/>
      <c r="F59" s="518"/>
      <c r="J59" s="519" t="s">
        <v>179</v>
      </c>
      <c r="K59" s="520" t="s">
        <v>179</v>
      </c>
      <c r="L59" s="521"/>
      <c r="M59" s="522" t="s">
        <v>162</v>
      </c>
      <c r="N59" s="463"/>
      <c r="O59" s="344" t="s">
        <v>124</v>
      </c>
      <c r="P59" s="62" t="n">
        <v>21</v>
      </c>
      <c r="Q59" s="62" t="n">
        <v>50</v>
      </c>
      <c r="R59" s="514" t="n">
        <f aca="false">+Positions!AB25</f>
        <v>0.981756353257804</v>
      </c>
      <c r="S59" s="515" t="n">
        <f aca="false">((+Q59*16)*P59)*R59</f>
        <v>16493.5067347311</v>
      </c>
    </row>
    <row r="60" customFormat="false" ht="9.75" hidden="false" customHeight="false" outlineLevel="0" collapsed="false">
      <c r="B60" s="360"/>
      <c r="C60" s="436"/>
      <c r="D60" s="469" t="s">
        <v>110</v>
      </c>
      <c r="E60" s="436" t="s">
        <v>111</v>
      </c>
      <c r="F60" s="343"/>
      <c r="J60" s="523" t="s">
        <v>157</v>
      </c>
      <c r="K60" s="524" t="s">
        <v>180</v>
      </c>
      <c r="L60" s="525" t="s">
        <v>151</v>
      </c>
      <c r="M60" s="526" t="s">
        <v>164</v>
      </c>
      <c r="N60" s="527"/>
      <c r="O60" s="344" t="s">
        <v>126</v>
      </c>
      <c r="P60" s="62" t="n">
        <v>22</v>
      </c>
      <c r="Q60" s="62" t="n">
        <v>50</v>
      </c>
      <c r="R60" s="514" t="n">
        <f aca="false">+Positions!AB26</f>
        <v>0.979501053339345</v>
      </c>
      <c r="S60" s="515" t="n">
        <f aca="false">((+Q60*16)*P60)*R60</f>
        <v>17239.2185387725</v>
      </c>
    </row>
    <row r="61" customFormat="false" ht="9" hidden="false" customHeight="false" outlineLevel="0" collapsed="false">
      <c r="B61" s="385"/>
      <c r="C61" s="61"/>
      <c r="D61" s="261"/>
      <c r="E61" s="61"/>
      <c r="F61" s="428"/>
      <c r="J61" s="528"/>
      <c r="K61" s="61"/>
      <c r="L61" s="463"/>
      <c r="M61" s="529"/>
      <c r="N61" s="240"/>
      <c r="O61" s="344" t="s">
        <v>127</v>
      </c>
      <c r="P61" s="62" t="n">
        <v>22</v>
      </c>
      <c r="Q61" s="62" t="n">
        <v>200</v>
      </c>
      <c r="R61" s="514" t="n">
        <f aca="false">+Positions!AB27</f>
        <v>0.977261681050126</v>
      </c>
      <c r="S61" s="515" t="n">
        <f aca="false">((+Q61*16)*P61)*R61</f>
        <v>68799.2223459288</v>
      </c>
    </row>
    <row r="62" customFormat="false" ht="9" hidden="false" customHeight="false" outlineLevel="0" collapsed="false">
      <c r="B62" s="52"/>
      <c r="C62" s="530"/>
      <c r="D62" s="261"/>
      <c r="E62" s="61"/>
      <c r="F62" s="428"/>
      <c r="J62" s="531"/>
      <c r="K62" s="419"/>
      <c r="L62" s="419"/>
      <c r="M62" s="532"/>
      <c r="O62" s="344" t="s">
        <v>128</v>
      </c>
      <c r="P62" s="62" t="n">
        <v>20</v>
      </c>
      <c r="Q62" s="62" t="n">
        <v>150</v>
      </c>
      <c r="R62" s="514" t="n">
        <f aca="false">+Positions!AB28</f>
        <v>0.974842659458655</v>
      </c>
      <c r="S62" s="515" t="n">
        <f aca="false">((+Q62*16)*P62)*R62</f>
        <v>46792.4476540154</v>
      </c>
    </row>
    <row r="63" customFormat="false" ht="9" hidden="false" customHeight="false" outlineLevel="0" collapsed="false">
      <c r="B63" s="52" t="s">
        <v>117</v>
      </c>
      <c r="C63" s="530" t="n">
        <v>30</v>
      </c>
      <c r="D63" s="261" t="n">
        <v>0</v>
      </c>
      <c r="E63" s="61" t="n">
        <v>0</v>
      </c>
      <c r="F63" s="428"/>
      <c r="J63" s="531" t="n">
        <f aca="false">+Summary!C36</f>
        <v>2.681</v>
      </c>
      <c r="K63" s="533" t="n">
        <f aca="false">+'EOL LINKS'!H3</f>
        <v>2.6625</v>
      </c>
      <c r="L63" s="419" t="n">
        <f aca="false">+K63-J63</f>
        <v>-0.0185</v>
      </c>
      <c r="M63" s="532" t="n">
        <f aca="false">+E63*L63</f>
        <v>-0</v>
      </c>
      <c r="O63" s="344" t="s">
        <v>129</v>
      </c>
      <c r="P63" s="62" t="n">
        <v>22</v>
      </c>
      <c r="Q63" s="62" t="n">
        <v>50</v>
      </c>
      <c r="R63" s="514" t="n">
        <f aca="false">+Positions!AB29</f>
        <v>0.97230015467359</v>
      </c>
      <c r="S63" s="515" t="n">
        <f aca="false">((+Q63*16)*P63)*R63</f>
        <v>17112.4827222552</v>
      </c>
    </row>
    <row r="64" customFormat="false" ht="9" hidden="false" customHeight="false" outlineLevel="0" collapsed="false">
      <c r="B64" s="52" t="s">
        <v>118</v>
      </c>
      <c r="C64" s="530" t="n">
        <v>31</v>
      </c>
      <c r="D64" s="261" t="n">
        <v>0</v>
      </c>
      <c r="E64" s="61" t="n">
        <v>0</v>
      </c>
      <c r="F64" s="428"/>
      <c r="J64" s="531" t="n">
        <f aca="false">+Summary!C37</f>
        <v>2.935</v>
      </c>
      <c r="K64" s="533" t="n">
        <f aca="false">+'EOL LINKS'!H4</f>
        <v>2.89625</v>
      </c>
      <c r="L64" s="419" t="n">
        <f aca="false">+K64-J64</f>
        <v>-0.0387499999999998</v>
      </c>
      <c r="M64" s="532" t="n">
        <f aca="false">+E64*L64</f>
        <v>-0</v>
      </c>
      <c r="O64" s="344" t="s">
        <v>130</v>
      </c>
      <c r="P64" s="62" t="n">
        <v>22</v>
      </c>
      <c r="Q64" s="62" t="n">
        <v>50</v>
      </c>
      <c r="R64" s="514" t="n">
        <f aca="false">+Positions!AB30</f>
        <v>0.969632633248799</v>
      </c>
      <c r="S64" s="515" t="n">
        <f aca="false">((+Q64*16)*P64)*R64</f>
        <v>17065.5343451789</v>
      </c>
    </row>
    <row r="65" customFormat="false" ht="9" hidden="false" customHeight="false" outlineLevel="0" collapsed="false">
      <c r="B65" s="52" t="s">
        <v>119</v>
      </c>
      <c r="C65" s="530" t="n">
        <v>31</v>
      </c>
      <c r="D65" s="261" t="n">
        <v>20000</v>
      </c>
      <c r="E65" s="61" t="n">
        <v>611115.493982083</v>
      </c>
      <c r="F65" s="428"/>
      <c r="J65" s="531" t="n">
        <f aca="false">+Summary!C39</f>
        <v>3.11</v>
      </c>
      <c r="K65" s="533" t="n">
        <f aca="false">+'EOL LINKS'!H5</f>
        <v>3.0725</v>
      </c>
      <c r="L65" s="419" t="n">
        <f aca="false">+K65-J65</f>
        <v>-0.0375000000000001</v>
      </c>
      <c r="M65" s="532" t="n">
        <f aca="false">+E65*L65</f>
        <v>-22916.8310243282</v>
      </c>
      <c r="O65" s="344" t="s">
        <v>131</v>
      </c>
      <c r="P65" s="62" t="n">
        <v>20</v>
      </c>
      <c r="Q65" s="62" t="n">
        <v>100</v>
      </c>
      <c r="R65" s="514" t="n">
        <f aca="false">+Positions!AB31</f>
        <v>0.966802599844266</v>
      </c>
      <c r="S65" s="515" t="n">
        <f aca="false">((+Q65*16)*P65)*R65</f>
        <v>30937.6831950165</v>
      </c>
      <c r="V65" s="392"/>
    </row>
    <row r="66" customFormat="false" ht="9" hidden="false" customHeight="false" outlineLevel="0" collapsed="false">
      <c r="B66" s="52" t="s">
        <v>181</v>
      </c>
      <c r="C66" s="530" t="n">
        <v>151</v>
      </c>
      <c r="D66" s="61" t="n">
        <v>10000</v>
      </c>
      <c r="E66" s="61" t="n">
        <v>1488361.92889185</v>
      </c>
      <c r="F66" s="428"/>
      <c r="J66" s="531" t="n">
        <f aca="false">+Summary!C51</f>
        <v>2.9834</v>
      </c>
      <c r="K66" s="533" t="n">
        <f aca="false">+'EOL LINKS'!H6</f>
        <v>2.95</v>
      </c>
      <c r="L66" s="419" t="n">
        <f aca="false">+K66-J66</f>
        <v>-0.0333999999999999</v>
      </c>
      <c r="M66" s="532" t="n">
        <f aca="false">+E66*L66</f>
        <v>-49711.2884249875</v>
      </c>
      <c r="O66" s="344" t="s">
        <v>114</v>
      </c>
      <c r="P66" s="62" t="n">
        <v>23</v>
      </c>
      <c r="Q66" s="62" t="n">
        <v>100</v>
      </c>
      <c r="R66" s="514" t="n">
        <f aca="false">+Positions!AB32</f>
        <v>0.96387209633485</v>
      </c>
      <c r="S66" s="515" t="n">
        <f aca="false">((+Q66*16)*P66)*R66</f>
        <v>35470.4931451225</v>
      </c>
    </row>
    <row r="67" customFormat="false" ht="9" hidden="false" customHeight="false" outlineLevel="0" collapsed="false">
      <c r="B67" s="52" t="s">
        <v>125</v>
      </c>
      <c r="C67" s="61" t="n">
        <v>213</v>
      </c>
      <c r="D67" s="61" t="n">
        <v>5000</v>
      </c>
      <c r="E67" s="61" t="n">
        <v>1036060.21132398</v>
      </c>
      <c r="F67" s="384"/>
      <c r="J67" s="531" t="n">
        <f aca="false">+Summary!C53</f>
        <v>3.08942857142857</v>
      </c>
      <c r="K67" s="533" t="n">
        <f aca="false">+'EOL LINKS'!H7</f>
        <v>3.06</v>
      </c>
      <c r="L67" s="419" t="n">
        <f aca="false">+K67-J67</f>
        <v>-0.0294285714285714</v>
      </c>
      <c r="M67" s="532" t="n">
        <f aca="false">+E67*L67</f>
        <v>-30489.7719332484</v>
      </c>
      <c r="O67" s="344" t="s">
        <v>115</v>
      </c>
      <c r="P67" s="62" t="n">
        <v>20</v>
      </c>
      <c r="Q67" s="62" t="n">
        <v>100</v>
      </c>
      <c r="R67" s="514" t="n">
        <f aca="false">+Positions!AB33</f>
        <v>0.960862773350376</v>
      </c>
      <c r="S67" s="515" t="n">
        <f aca="false">((+Q67*16)*P67)*R67</f>
        <v>30747.608747212</v>
      </c>
    </row>
    <row r="68" customFormat="false" ht="9.75" hidden="false" customHeight="false" outlineLevel="0" collapsed="false">
      <c r="B68" s="52" t="s">
        <v>90</v>
      </c>
      <c r="C68" s="530" t="n">
        <v>365</v>
      </c>
      <c r="D68" s="261" t="n">
        <v>25000</v>
      </c>
      <c r="E68" s="61" t="n">
        <v>8877041.71674301</v>
      </c>
      <c r="F68" s="428"/>
      <c r="J68" s="531" t="n">
        <f aca="false">+Summary!C54</f>
        <v>3.15475</v>
      </c>
      <c r="K68" s="533" t="n">
        <f aca="false">+'EOL LINKS'!H8</f>
        <v>3.125</v>
      </c>
      <c r="L68" s="419" t="n">
        <f aca="false">+K68-J68</f>
        <v>-0.0297499999999999</v>
      </c>
      <c r="M68" s="532" t="n">
        <f aca="false">+E68*L68</f>
        <v>-264091.991073104</v>
      </c>
      <c r="O68" s="360" t="s">
        <v>134</v>
      </c>
      <c r="P68" s="361" t="n">
        <v>21</v>
      </c>
      <c r="Q68" s="361" t="n">
        <v>100</v>
      </c>
      <c r="R68" s="534" t="n">
        <f aca="false">+Positions!AB34</f>
        <v>0.957757451329791</v>
      </c>
      <c r="S68" s="535" t="n">
        <f aca="false">((+Q68*16)*P68)*R68</f>
        <v>32180.650364681</v>
      </c>
    </row>
    <row r="69" customFormat="false" ht="9" hidden="false" customHeight="false" outlineLevel="0" collapsed="false">
      <c r="B69" s="52" t="s">
        <v>92</v>
      </c>
      <c r="C69" s="61" t="n">
        <v>365</v>
      </c>
      <c r="D69" s="61" t="n">
        <v>35000</v>
      </c>
      <c r="E69" s="61" t="n">
        <v>11946578.346883</v>
      </c>
      <c r="F69" s="384"/>
      <c r="J69" s="531" t="n">
        <f aca="false">+Summary!C55</f>
        <v>3.529</v>
      </c>
      <c r="K69" s="533" t="n">
        <f aca="false">+'EOL LINKS'!H9</f>
        <v>3.5025</v>
      </c>
      <c r="L69" s="419" t="n">
        <f aca="false">+K69-J69</f>
        <v>-0.0265</v>
      </c>
      <c r="M69" s="532" t="n">
        <f aca="false">+E69*L69</f>
        <v>-316584.326192399</v>
      </c>
      <c r="P69" s="2"/>
      <c r="Q69" s="2"/>
      <c r="R69" s="2"/>
      <c r="S69" s="2" t="n">
        <f aca="false">SUM(S57:S68)</f>
        <v>345925.174726415</v>
      </c>
    </row>
    <row r="70" customFormat="false" ht="9" hidden="false" customHeight="false" outlineLevel="0" collapsed="false">
      <c r="B70" s="52"/>
      <c r="F70" s="384"/>
      <c r="J70" s="536"/>
      <c r="L70" s="62"/>
      <c r="M70" s="53"/>
      <c r="O70" s="392"/>
      <c r="Q70" s="240"/>
    </row>
    <row r="71" customFormat="false" ht="9" hidden="false" customHeight="false" outlineLevel="0" collapsed="false">
      <c r="B71" s="52"/>
      <c r="C71" s="62"/>
      <c r="D71" s="62"/>
      <c r="E71" s="62"/>
      <c r="F71" s="53"/>
      <c r="J71" s="537"/>
      <c r="K71" s="350"/>
      <c r="L71" s="392"/>
      <c r="M71" s="532"/>
      <c r="O71" s="62"/>
      <c r="Q71" s="240"/>
    </row>
    <row r="72" customFormat="false" ht="9.75" hidden="false" customHeight="false" outlineLevel="0" collapsed="false">
      <c r="B72" s="96" t="s">
        <v>182</v>
      </c>
      <c r="C72" s="361"/>
      <c r="D72" s="361"/>
      <c r="E72" s="362" t="n">
        <f aca="false">SUM(E63:E71)</f>
        <v>23959157.6978239</v>
      </c>
      <c r="F72" s="97"/>
      <c r="J72" s="538"/>
      <c r="K72" s="459"/>
      <c r="L72" s="469"/>
      <c r="M72" s="539" t="n">
        <f aca="false">SUM(M63:M71)</f>
        <v>-683794.208648067</v>
      </c>
    </row>
    <row r="73" customFormat="false" ht="9" hidden="false" customHeight="false" outlineLevel="0" collapsed="false">
      <c r="J73" s="1"/>
      <c r="K73" s="1"/>
    </row>
    <row r="74" customFormat="false" ht="9" hidden="false" customHeight="false" outlineLevel="0" collapsed="false">
      <c r="B74" s="1" t="n">
        <v>4080</v>
      </c>
      <c r="C74" s="1"/>
      <c r="D74" s="1" t="s">
        <v>183</v>
      </c>
      <c r="E74" s="61" t="n">
        <v>4680</v>
      </c>
      <c r="J74" s="1"/>
      <c r="K74" s="1"/>
    </row>
    <row r="75" customFormat="false" ht="9" hidden="false" customHeight="false" outlineLevel="0" collapsed="false">
      <c r="B75" s="1" t="n">
        <v>8760</v>
      </c>
      <c r="D75" s="2" t="s">
        <v>184</v>
      </c>
      <c r="J75" s="1"/>
      <c r="K75" s="1"/>
    </row>
    <row r="76" customFormat="false" ht="9" hidden="false" customHeight="false" outlineLevel="0" collapsed="false">
      <c r="J76" s="1"/>
      <c r="K76" s="1"/>
    </row>
    <row r="77" customFormat="false" ht="9" hidden="false" customHeight="false" outlineLevel="0" collapsed="false">
      <c r="J77" s="1"/>
      <c r="K77" s="1"/>
    </row>
    <row r="78" customFormat="false" ht="9" hidden="false" customHeight="false" outlineLevel="0" collapsed="false">
      <c r="J78" s="1"/>
      <c r="K78" s="1"/>
    </row>
    <row r="79" customFormat="false" ht="9" hidden="false" customHeight="false" outlineLevel="0" collapsed="false">
      <c r="J79" s="1"/>
      <c r="K79" s="1"/>
    </row>
    <row r="80" customFormat="false" ht="9" hidden="false" customHeight="false" outlineLevel="0" collapsed="false">
      <c r="J80" s="1"/>
      <c r="K80" s="1"/>
    </row>
    <row r="81" customFormat="false" ht="9" hidden="false" customHeight="false" outlineLevel="0" collapsed="false">
      <c r="J81" s="1"/>
      <c r="K81" s="1"/>
    </row>
    <row r="82" customFormat="false" ht="9" hidden="false" customHeight="false" outlineLevel="0" collapsed="false">
      <c r="J82" s="1"/>
      <c r="K82" s="1"/>
    </row>
    <row r="83" customFormat="false" ht="9" hidden="false" customHeight="false" outlineLevel="0" collapsed="false">
      <c r="J83" s="1"/>
      <c r="K83" s="1"/>
    </row>
    <row r="84" customFormat="false" ht="9" hidden="false" customHeight="false" outlineLevel="0" collapsed="false">
      <c r="J84" s="1"/>
      <c r="K84" s="1"/>
    </row>
    <row r="85" customFormat="false" ht="9" hidden="false" customHeight="false" outlineLevel="0" collapsed="false">
      <c r="J85" s="1"/>
      <c r="K85" s="1"/>
    </row>
    <row r="93" customFormat="false" ht="9" hidden="false" customHeight="false" outlineLevel="0" collapsed="false">
      <c r="N93" s="283" t="n">
        <f aca="false">SUM(N68:N92)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2"/>
  <sheetViews>
    <sheetView showFormulas="false" showGridLines="true" showRowColHeaders="true" showZeros="true" rightToLeft="false" tabSelected="false" showOutlineSymbols="true" defaultGridColor="true" view="normal" topLeftCell="I26" colorId="64" zoomScale="100" zoomScaleNormal="100" zoomScalePageLayoutView="100" workbookViewId="0">
      <selection pane="topLeft" activeCell="P50" activeCellId="0" sqref="P50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1" width="1.28"/>
    <col collapsed="false" customWidth="true" hidden="false" outlineLevel="0" max="2" min="2" style="1" width="12.28"/>
    <col collapsed="false" customWidth="true" hidden="false" outlineLevel="0" max="3" min="3" style="2" width="3.85"/>
    <col collapsed="false" customWidth="true" hidden="false" outlineLevel="0" max="4" min="4" style="2" width="8.14"/>
    <col collapsed="false" customWidth="true" hidden="false" outlineLevel="0" max="5" min="5" style="2" width="8.99"/>
    <col collapsed="false" customWidth="true" hidden="false" outlineLevel="0" max="6" min="6" style="2" width="9.28"/>
    <col collapsed="false" customWidth="true" hidden="false" outlineLevel="0" max="7" min="7" style="2" width="1.41"/>
    <col collapsed="false" customWidth="true" hidden="false" outlineLevel="0" max="8" min="8" style="2" width="8.7"/>
    <col collapsed="false" customWidth="true" hidden="false" outlineLevel="0" max="9" min="9" style="391" width="3.14"/>
    <col collapsed="false" customWidth="true" hidden="false" outlineLevel="0" max="10" min="10" style="392" width="7.7"/>
    <col collapsed="false" customWidth="true" hidden="false" outlineLevel="0" max="11" min="11" style="392" width="6.99"/>
    <col collapsed="false" customWidth="true" hidden="false" outlineLevel="0" max="12" min="12" style="1" width="6.13"/>
    <col collapsed="false" customWidth="true" hidden="false" outlineLevel="0" max="13" min="13" style="1" width="13.56"/>
    <col collapsed="false" customWidth="true" hidden="false" outlineLevel="0" max="14" min="14" style="1" width="7.56"/>
    <col collapsed="false" customWidth="false" hidden="false" outlineLevel="0" max="15" min="15" style="1" width="9.14"/>
    <col collapsed="false" customWidth="true" hidden="false" outlineLevel="0" max="16" min="16" style="1" width="12.28"/>
    <col collapsed="false" customWidth="true" hidden="false" outlineLevel="0" max="17" min="17" style="1" width="6.28"/>
    <col collapsed="false" customWidth="false" hidden="false" outlineLevel="0" max="18" min="18" style="1" width="9.14"/>
    <col collapsed="false" customWidth="true" hidden="false" outlineLevel="0" max="19" min="19" style="1" width="9.7"/>
    <col collapsed="false" customWidth="false" hidden="false" outlineLevel="0" max="257" min="20" style="1" width="9.14"/>
  </cols>
  <sheetData>
    <row r="1" customFormat="false" ht="9" hidden="false" customHeight="false" outlineLevel="0" collapsed="false">
      <c r="B1" s="219" t="s">
        <v>73</v>
      </c>
      <c r="C1" s="220"/>
      <c r="D1" s="221" t="s">
        <v>74</v>
      </c>
      <c r="E1" s="221" t="s">
        <v>74</v>
      </c>
      <c r="F1" s="221" t="s">
        <v>74</v>
      </c>
      <c r="G1" s="1"/>
      <c r="H1" s="222" t="s">
        <v>76</v>
      </c>
      <c r="J1" s="393" t="s">
        <v>75</v>
      </c>
      <c r="K1" s="394" t="s">
        <v>75</v>
      </c>
      <c r="L1" s="394" t="s">
        <v>151</v>
      </c>
      <c r="M1" s="394" t="s">
        <v>151</v>
      </c>
      <c r="N1" s="394"/>
      <c r="O1" s="394"/>
      <c r="P1" s="395"/>
      <c r="R1" s="240"/>
      <c r="S1" s="396" t="s">
        <v>152</v>
      </c>
      <c r="T1" s="396"/>
      <c r="U1" s="396"/>
      <c r="V1" s="396"/>
      <c r="W1" s="397"/>
    </row>
    <row r="2" customFormat="false" ht="9.75" hidden="false" customHeight="false" outlineLevel="0" collapsed="false">
      <c r="B2" s="229"/>
      <c r="C2" s="230"/>
      <c r="D2" s="231" t="s">
        <v>153</v>
      </c>
      <c r="E2" s="231" t="s">
        <v>154</v>
      </c>
      <c r="F2" s="231" t="s">
        <v>155</v>
      </c>
      <c r="G2" s="1"/>
      <c r="H2" s="232" t="s">
        <v>156</v>
      </c>
      <c r="J2" s="398" t="s">
        <v>157</v>
      </c>
      <c r="K2" s="399" t="s">
        <v>158</v>
      </c>
      <c r="L2" s="399"/>
      <c r="M2" s="399" t="s">
        <v>75</v>
      </c>
      <c r="N2" s="399"/>
      <c r="O2" s="399"/>
      <c r="P2" s="400"/>
      <c r="R2" s="240"/>
      <c r="S2" s="401" t="s">
        <v>159</v>
      </c>
      <c r="T2" s="401" t="s">
        <v>160</v>
      </c>
      <c r="U2" s="401" t="s">
        <v>161</v>
      </c>
      <c r="V2" s="401" t="s">
        <v>162</v>
      </c>
      <c r="W2" s="402" t="s">
        <v>163</v>
      </c>
    </row>
    <row r="3" customFormat="false" ht="9.75" hidden="false" customHeight="false" outlineLevel="0" collapsed="false">
      <c r="A3" s="240"/>
      <c r="B3" s="403"/>
      <c r="C3" s="242"/>
      <c r="D3" s="243"/>
      <c r="E3" s="243"/>
      <c r="F3" s="243"/>
      <c r="G3" s="240"/>
      <c r="H3" s="404"/>
      <c r="L3" s="240"/>
      <c r="M3" s="240"/>
      <c r="N3" s="240"/>
      <c r="O3" s="240"/>
      <c r="P3" s="240"/>
      <c r="Q3" s="240"/>
      <c r="R3" s="240"/>
      <c r="S3" s="405"/>
      <c r="T3" s="405"/>
      <c r="U3" s="240"/>
      <c r="V3" s="405" t="n">
        <f aca="false">+(T3-S3)*U3</f>
        <v>0</v>
      </c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  <c r="IL3" s="240"/>
      <c r="IM3" s="240"/>
      <c r="IN3" s="240"/>
      <c r="IO3" s="240"/>
      <c r="IP3" s="240"/>
      <c r="IQ3" s="240"/>
      <c r="IR3" s="240"/>
      <c r="IS3" s="240"/>
      <c r="IT3" s="240"/>
      <c r="IU3" s="240"/>
      <c r="IV3" s="240"/>
      <c r="IW3" s="240"/>
    </row>
    <row r="4" customFormat="false" ht="9" hidden="false" customHeight="false" outlineLevel="0" collapsed="false">
      <c r="B4" s="249"/>
      <c r="C4" s="250"/>
      <c r="D4" s="251"/>
      <c r="E4" s="251"/>
      <c r="F4" s="251"/>
      <c r="G4" s="1"/>
      <c r="H4" s="252" t="n">
        <f aca="false">SUM(D4:F4)*16</f>
        <v>0</v>
      </c>
      <c r="L4" s="392"/>
      <c r="M4" s="392"/>
      <c r="N4" s="392"/>
      <c r="O4" s="392"/>
      <c r="P4" s="392"/>
      <c r="R4" s="350"/>
      <c r="S4" s="405"/>
      <c r="T4" s="240"/>
      <c r="U4" s="240"/>
      <c r="V4" s="405" t="n">
        <f aca="false">+(T4-S4)*U4</f>
        <v>0</v>
      </c>
    </row>
    <row r="5" customFormat="false" ht="9" hidden="false" customHeight="false" outlineLevel="0" collapsed="false">
      <c r="B5" s="259" t="n">
        <v>37178</v>
      </c>
      <c r="C5" s="250" t="n">
        <v>1</v>
      </c>
      <c r="D5" s="251"/>
      <c r="E5" s="251"/>
      <c r="F5" s="251"/>
      <c r="G5" s="1"/>
      <c r="H5" s="252" t="n">
        <f aca="false">SUM(D5:F5)*16</f>
        <v>0</v>
      </c>
      <c r="L5" s="392"/>
      <c r="M5" s="392"/>
      <c r="N5" s="392"/>
      <c r="O5" s="392"/>
      <c r="P5" s="392"/>
      <c r="R5" s="405"/>
      <c r="S5" s="392"/>
      <c r="T5" s="405"/>
      <c r="U5" s="240"/>
      <c r="V5" s="405" t="n">
        <f aca="false">+(T5-S5)*U5</f>
        <v>0</v>
      </c>
      <c r="W5" s="406"/>
    </row>
    <row r="6" customFormat="false" ht="9" hidden="false" customHeight="false" outlineLevel="0" collapsed="false">
      <c r="B6" s="259"/>
      <c r="C6" s="250"/>
      <c r="D6" s="251"/>
      <c r="E6" s="251"/>
      <c r="F6" s="251"/>
      <c r="G6" s="1"/>
      <c r="H6" s="252" t="n">
        <f aca="false">SUM(D6:F6)*16</f>
        <v>0</v>
      </c>
      <c r="L6" s="392"/>
      <c r="M6" s="392"/>
      <c r="N6" s="392"/>
      <c r="O6" s="392"/>
      <c r="P6" s="392"/>
      <c r="R6" s="240"/>
      <c r="S6" s="392"/>
      <c r="T6" s="392"/>
      <c r="U6" s="240"/>
      <c r="V6" s="405" t="n">
        <f aca="false">+(T6-S6)*U6</f>
        <v>0</v>
      </c>
    </row>
    <row r="7" customFormat="false" ht="9" hidden="false" customHeight="false" outlineLevel="0" collapsed="false">
      <c r="B7" s="259"/>
      <c r="C7" s="250"/>
      <c r="D7" s="251"/>
      <c r="E7" s="251"/>
      <c r="F7" s="251"/>
      <c r="G7" s="1"/>
      <c r="H7" s="252" t="n">
        <f aca="false">SUM(D7:F7)*16</f>
        <v>0</v>
      </c>
      <c r="L7" s="392"/>
      <c r="M7" s="392"/>
      <c r="N7" s="392"/>
      <c r="O7" s="392"/>
      <c r="P7" s="392"/>
      <c r="R7" s="405"/>
      <c r="S7" s="392"/>
      <c r="T7" s="405"/>
      <c r="U7" s="240"/>
      <c r="V7" s="405" t="n">
        <f aca="false">+(T7-S7)*U7</f>
        <v>0</v>
      </c>
    </row>
    <row r="8" customFormat="false" ht="9.75" hidden="false" customHeight="false" outlineLevel="0" collapsed="false">
      <c r="B8" s="276"/>
      <c r="C8" s="250"/>
      <c r="D8" s="251"/>
      <c r="E8" s="251"/>
      <c r="F8" s="251"/>
      <c r="G8" s="1"/>
      <c r="H8" s="252"/>
      <c r="L8" s="392"/>
      <c r="M8" s="392"/>
      <c r="N8" s="392"/>
      <c r="O8" s="392"/>
      <c r="P8" s="392"/>
      <c r="Q8" s="240"/>
      <c r="R8" s="405"/>
      <c r="S8" s="392"/>
      <c r="T8" s="392"/>
      <c r="U8" s="240"/>
      <c r="V8" s="405" t="n">
        <f aca="false">+(T8-S8)*U8</f>
        <v>0</v>
      </c>
    </row>
    <row r="9" customFormat="false" ht="9" hidden="false" customHeight="false" outlineLevel="0" collapsed="false">
      <c r="B9" s="290" t="s">
        <v>98</v>
      </c>
      <c r="C9" s="291"/>
      <c r="D9" s="292" t="n">
        <f aca="false">SUM(D4:D8)*16</f>
        <v>0</v>
      </c>
      <c r="E9" s="292" t="n">
        <f aca="false">SUM(E4:E8)*16</f>
        <v>0</v>
      </c>
      <c r="F9" s="292" t="n">
        <f aca="false">SUM(F4:F8)*16</f>
        <v>0</v>
      </c>
      <c r="G9" s="62"/>
      <c r="H9" s="407" t="n">
        <f aca="false">SUM(H4:H8)</f>
        <v>0</v>
      </c>
      <c r="L9" s="392"/>
      <c r="M9" s="408" t="n">
        <f aca="false">SUM(M5:M8)</f>
        <v>0</v>
      </c>
      <c r="N9" s="240"/>
      <c r="O9" s="240"/>
      <c r="P9" s="405"/>
      <c r="R9" s="392"/>
      <c r="S9" s="392"/>
      <c r="T9" s="392"/>
      <c r="U9" s="240"/>
      <c r="V9" s="405" t="n">
        <f aca="false">+(T9-S9)*U9</f>
        <v>0</v>
      </c>
    </row>
    <row r="10" customFormat="false" ht="9.75" hidden="false" customHeight="false" outlineLevel="0" collapsed="false">
      <c r="B10" s="290"/>
      <c r="C10" s="291"/>
      <c r="D10" s="292"/>
      <c r="E10" s="292"/>
      <c r="F10" s="292"/>
      <c r="G10" s="292"/>
      <c r="H10" s="292"/>
      <c r="R10" s="392"/>
      <c r="S10" s="392"/>
      <c r="T10" s="392"/>
      <c r="U10" s="240"/>
      <c r="V10" s="405" t="n">
        <f aca="false">+(T10-S10)*U10</f>
        <v>0</v>
      </c>
    </row>
    <row r="11" customFormat="false" ht="9" hidden="false" customHeight="false" outlineLevel="0" collapsed="false">
      <c r="B11" s="300" t="s">
        <v>100</v>
      </c>
      <c r="C11" s="301"/>
      <c r="D11" s="409" t="s">
        <v>74</v>
      </c>
      <c r="E11" s="409" t="s">
        <v>74</v>
      </c>
      <c r="F11" s="409" t="s">
        <v>74</v>
      </c>
      <c r="G11" s="303"/>
      <c r="H11" s="304"/>
      <c r="J11" s="393" t="s">
        <v>74</v>
      </c>
      <c r="K11" s="394" t="s">
        <v>74</v>
      </c>
      <c r="L11" s="410"/>
      <c r="M11" s="410" t="s">
        <v>162</v>
      </c>
      <c r="N11" s="410"/>
      <c r="O11" s="410"/>
      <c r="P11" s="411"/>
    </row>
    <row r="12" customFormat="false" ht="9.75" hidden="false" customHeight="false" outlineLevel="0" collapsed="false">
      <c r="B12" s="412"/>
      <c r="C12" s="312" t="s">
        <v>104</v>
      </c>
      <c r="D12" s="413" t="s">
        <v>153</v>
      </c>
      <c r="E12" s="413" t="s">
        <v>154</v>
      </c>
      <c r="F12" s="413" t="s">
        <v>155</v>
      </c>
      <c r="G12" s="313"/>
      <c r="H12" s="315" t="s">
        <v>96</v>
      </c>
      <c r="J12" s="398" t="s">
        <v>157</v>
      </c>
      <c r="K12" s="399" t="s">
        <v>158</v>
      </c>
      <c r="L12" s="414" t="s">
        <v>151</v>
      </c>
      <c r="M12" s="414" t="s">
        <v>164</v>
      </c>
      <c r="N12" s="414"/>
      <c r="O12" s="414"/>
      <c r="P12" s="415"/>
      <c r="S12" s="416" t="s">
        <v>165</v>
      </c>
      <c r="T12" s="417"/>
      <c r="U12" s="417"/>
      <c r="V12" s="417"/>
    </row>
    <row r="13" customFormat="false" ht="9.75" hidden="false" customHeight="false" outlineLevel="0" collapsed="false">
      <c r="B13" s="316" t="s">
        <v>109</v>
      </c>
      <c r="C13" s="62"/>
      <c r="D13" s="251"/>
      <c r="E13" s="251"/>
      <c r="F13" s="251"/>
      <c r="G13" s="251"/>
      <c r="S13" s="418" t="n">
        <v>24.98</v>
      </c>
      <c r="T13" s="419" t="n">
        <v>25.43</v>
      </c>
      <c r="U13" s="261" t="n">
        <v>64000</v>
      </c>
      <c r="V13" s="420" t="n">
        <f aca="false">+(T13-S13)*U13</f>
        <v>28800</v>
      </c>
      <c r="W13" s="1" t="s">
        <v>133</v>
      </c>
    </row>
    <row r="14" customFormat="false" ht="9.75" hidden="false" customHeight="false" outlineLevel="0" collapsed="false">
      <c r="B14" s="421"/>
      <c r="C14" s="422"/>
      <c r="D14" s="423"/>
      <c r="E14" s="424"/>
      <c r="F14" s="423"/>
      <c r="G14" s="425"/>
      <c r="H14" s="320"/>
      <c r="L14" s="392"/>
      <c r="M14" s="405"/>
      <c r="O14" s="426"/>
      <c r="S14" s="392" t="n">
        <v>24.98</v>
      </c>
      <c r="T14" s="408" t="n">
        <f aca="false">+K17</f>
        <v>24.55</v>
      </c>
      <c r="U14" s="240" t="n">
        <v>64000</v>
      </c>
      <c r="V14" s="420" t="n">
        <f aca="false">+(T14-S14)*U14</f>
        <v>-27520</v>
      </c>
      <c r="W14" s="1" t="s">
        <v>133</v>
      </c>
    </row>
    <row r="15" customFormat="false" ht="9.75" hidden="false" customHeight="false" outlineLevel="0" collapsed="false">
      <c r="B15" s="329"/>
      <c r="C15" s="330"/>
      <c r="D15" s="61"/>
      <c r="E15" s="427"/>
      <c r="G15" s="428"/>
      <c r="H15" s="331"/>
      <c r="J15" s="429"/>
      <c r="K15" s="430"/>
      <c r="L15" s="392"/>
      <c r="M15" s="405"/>
      <c r="N15" s="392"/>
      <c r="O15" s="431" t="s">
        <v>166</v>
      </c>
      <c r="P15" s="432"/>
      <c r="S15" s="392" t="n">
        <v>26.55</v>
      </c>
      <c r="T15" s="392" t="n">
        <v>27.425</v>
      </c>
      <c r="U15" s="240" t="n">
        <v>33400</v>
      </c>
      <c r="V15" s="420" t="n">
        <f aca="false">+(T15-S15)*U15</f>
        <v>29225</v>
      </c>
      <c r="W15" s="1" t="s">
        <v>185</v>
      </c>
    </row>
    <row r="16" customFormat="false" ht="9" hidden="false" customHeight="false" outlineLevel="0" collapsed="false">
      <c r="B16" s="329" t="s">
        <v>115</v>
      </c>
      <c r="C16" s="330" t="n">
        <v>21</v>
      </c>
      <c r="D16" s="61"/>
      <c r="E16" s="427"/>
      <c r="G16" s="428"/>
      <c r="H16" s="331" t="n">
        <f aca="false">+D16</f>
        <v>0</v>
      </c>
      <c r="J16" s="429" t="n">
        <v>23.24</v>
      </c>
      <c r="K16" s="433" t="n">
        <v>22.5</v>
      </c>
      <c r="L16" s="392" t="n">
        <f aca="false">+K16-J16</f>
        <v>-0.739999999999998</v>
      </c>
      <c r="M16" s="406" t="n">
        <f aca="false">+D16*L16</f>
        <v>-0</v>
      </c>
      <c r="N16" s="392"/>
      <c r="O16" s="434"/>
      <c r="P16" s="435"/>
      <c r="S16" s="540" t="n">
        <f aca="false">+K20</f>
        <v>26.15</v>
      </c>
      <c r="T16" s="392" t="n">
        <v>27.43</v>
      </c>
      <c r="U16" s="240" t="n">
        <v>33400</v>
      </c>
      <c r="V16" s="420" t="n">
        <f aca="false">+(T16-S16)*U16</f>
        <v>42752</v>
      </c>
      <c r="W16" s="1" t="s">
        <v>185</v>
      </c>
    </row>
    <row r="17" customFormat="false" ht="10.5" hidden="false" customHeight="true" outlineLevel="0" collapsed="false">
      <c r="B17" s="340" t="s">
        <v>116</v>
      </c>
      <c r="C17" s="341" t="n">
        <v>20</v>
      </c>
      <c r="D17" s="436" t="n">
        <v>-47408.3552900674</v>
      </c>
      <c r="E17" s="437"/>
      <c r="F17" s="342"/>
      <c r="G17" s="438"/>
      <c r="H17" s="343" t="n">
        <f aca="false">+D17</f>
        <v>-47408.3552900674</v>
      </c>
      <c r="J17" s="429" t="n">
        <v>25.45</v>
      </c>
      <c r="K17" s="433" t="n">
        <v>24.55</v>
      </c>
      <c r="L17" s="392" t="n">
        <f aca="false">+K17-J17</f>
        <v>-0.899999999999999</v>
      </c>
      <c r="M17" s="406" t="n">
        <f aca="false">+D17*L17</f>
        <v>42667.5197610606</v>
      </c>
      <c r="N17" s="392"/>
      <c r="O17" s="434" t="s">
        <v>167</v>
      </c>
      <c r="P17" s="439" t="n">
        <f aca="false">+M9</f>
        <v>0</v>
      </c>
      <c r="S17" s="540" t="n">
        <f aca="false">+K22</f>
        <v>25.5</v>
      </c>
      <c r="T17" s="405" t="n">
        <v>26.78</v>
      </c>
      <c r="U17" s="240" t="n">
        <v>103200</v>
      </c>
      <c r="V17" s="420" t="n">
        <f aca="false">+(T17-S17)*U17</f>
        <v>132096</v>
      </c>
      <c r="W17" s="1" t="s">
        <v>186</v>
      </c>
    </row>
    <row r="18" customFormat="false" ht="10.5" hidden="false" customHeight="true" outlineLevel="0" collapsed="false">
      <c r="C18" s="61"/>
      <c r="D18" s="392"/>
      <c r="H18" s="61"/>
      <c r="J18" s="440" t="n">
        <v>21.6524390243902</v>
      </c>
      <c r="K18" s="440" t="n">
        <v>23.5</v>
      </c>
      <c r="L18" s="392"/>
      <c r="M18" s="406"/>
      <c r="N18" s="392"/>
      <c r="O18" s="434"/>
      <c r="P18" s="439"/>
      <c r="S18" s="540" t="n">
        <f aca="false">+K24</f>
        <v>27.75</v>
      </c>
      <c r="T18" s="392" t="n">
        <v>28.95</v>
      </c>
      <c r="U18" s="240" t="n">
        <v>16000</v>
      </c>
      <c r="V18" s="420" t="n">
        <f aca="false">+(T18-S18)*U18</f>
        <v>19200</v>
      </c>
      <c r="W18" s="441" t="s">
        <v>187</v>
      </c>
    </row>
    <row r="19" customFormat="false" ht="10.5" hidden="false" customHeight="true" outlineLevel="0" collapsed="false">
      <c r="B19" s="352" t="n">
        <v>2002</v>
      </c>
      <c r="C19" s="61"/>
      <c r="D19" s="392"/>
      <c r="H19" s="61"/>
      <c r="J19" s="429"/>
      <c r="K19" s="429"/>
      <c r="L19" s="392"/>
      <c r="M19" s="406"/>
      <c r="N19" s="392"/>
      <c r="O19" s="434"/>
      <c r="P19" s="439"/>
      <c r="S19" s="540" t="n">
        <f aca="false">+K29</f>
        <v>27.25</v>
      </c>
      <c r="T19" s="405" t="n">
        <v>28.5</v>
      </c>
      <c r="U19" s="240" t="n">
        <v>51200</v>
      </c>
      <c r="V19" s="420" t="n">
        <f aca="false">+(T19-S19)*U19</f>
        <v>64000</v>
      </c>
      <c r="W19" s="1" t="s">
        <v>188</v>
      </c>
    </row>
    <row r="20" customFormat="false" ht="10.5" hidden="false" customHeight="true" outlineLevel="0" collapsed="false">
      <c r="B20" s="355" t="s">
        <v>120</v>
      </c>
      <c r="C20" s="333" t="n">
        <v>22</v>
      </c>
      <c r="D20" s="334" t="n">
        <v>-121434.562675149</v>
      </c>
      <c r="E20" s="424"/>
      <c r="F20" s="333"/>
      <c r="G20" s="425"/>
      <c r="H20" s="320" t="n">
        <f aca="false">+D20</f>
        <v>-121434.562675149</v>
      </c>
      <c r="J20" s="429" t="n">
        <v>27.05</v>
      </c>
      <c r="K20" s="433" t="n">
        <v>26.15</v>
      </c>
      <c r="L20" s="392" t="n">
        <f aca="false">+K20-J20</f>
        <v>-0.900000000000002</v>
      </c>
      <c r="M20" s="406" t="n">
        <f aca="false">+H20*L20</f>
        <v>109291.106407635</v>
      </c>
      <c r="N20" s="392"/>
      <c r="O20" s="434"/>
      <c r="P20" s="435"/>
      <c r="S20" s="405" t="n">
        <v>26</v>
      </c>
      <c r="T20" s="405" t="n">
        <v>26.15</v>
      </c>
      <c r="U20" s="240" t="n">
        <v>33400</v>
      </c>
      <c r="V20" s="420" t="n">
        <f aca="false">+(T20-S20)*U20</f>
        <v>5009.99999999995</v>
      </c>
    </row>
    <row r="21" customFormat="false" ht="10.5" hidden="false" customHeight="true" outlineLevel="0" collapsed="false">
      <c r="B21" s="344" t="s">
        <v>122</v>
      </c>
      <c r="C21" s="62" t="n">
        <v>20</v>
      </c>
      <c r="D21" s="261" t="n">
        <v>-110169.725859356</v>
      </c>
      <c r="E21" s="427"/>
      <c r="F21" s="61"/>
      <c r="G21" s="428"/>
      <c r="H21" s="331" t="n">
        <f aca="false">+D21</f>
        <v>-110169.725859356</v>
      </c>
      <c r="J21" s="429" t="n">
        <v>27.05</v>
      </c>
      <c r="K21" s="433" t="n">
        <v>26.15</v>
      </c>
      <c r="L21" s="392" t="n">
        <f aca="false">+K21-J21</f>
        <v>-0.900000000000002</v>
      </c>
      <c r="M21" s="406" t="n">
        <f aca="false">+H21*L21</f>
        <v>99152.7532734205</v>
      </c>
      <c r="N21" s="392"/>
      <c r="O21" s="434" t="s">
        <v>168</v>
      </c>
      <c r="P21" s="439" t="n">
        <f aca="false">+M55</f>
        <v>1826988.91125755</v>
      </c>
      <c r="S21" s="540" t="n">
        <f aca="false">+K52</f>
        <v>19.6</v>
      </c>
      <c r="T21" s="392" t="n">
        <v>19.55</v>
      </c>
      <c r="U21" s="240" t="n">
        <v>234000</v>
      </c>
      <c r="V21" s="420" t="n">
        <f aca="false">+(T21-S21)*U21</f>
        <v>-11700.0000000002</v>
      </c>
      <c r="W21" s="441"/>
    </row>
    <row r="22" customFormat="false" ht="10.5" hidden="false" customHeight="true" outlineLevel="0" collapsed="false">
      <c r="B22" s="344" t="s">
        <v>124</v>
      </c>
      <c r="C22" s="62" t="n">
        <v>21</v>
      </c>
      <c r="D22" s="261" t="n">
        <v>-115454.547143118</v>
      </c>
      <c r="E22" s="427"/>
      <c r="F22" s="61"/>
      <c r="G22" s="428"/>
      <c r="H22" s="331" t="n">
        <f aca="false">+D22</f>
        <v>-115454.547143118</v>
      </c>
      <c r="J22" s="429" t="n">
        <v>26.5</v>
      </c>
      <c r="K22" s="433" t="n">
        <v>25.5</v>
      </c>
      <c r="L22" s="392" t="n">
        <f aca="false">+K22-J22</f>
        <v>-1</v>
      </c>
      <c r="M22" s="406" t="n">
        <f aca="false">+H22*L22</f>
        <v>115454.547143118</v>
      </c>
      <c r="N22" s="392"/>
      <c r="O22" s="434" t="s">
        <v>99</v>
      </c>
      <c r="P22" s="439" t="n">
        <f aca="false">+M71</f>
        <v>-2010823.01775319</v>
      </c>
      <c r="S22" s="408" t="n">
        <f aca="false">+K40</f>
        <v>35.05</v>
      </c>
      <c r="T22" s="392" t="n">
        <v>36.2</v>
      </c>
      <c r="U22" s="240" t="n">
        <v>16800</v>
      </c>
      <c r="V22" s="420" t="n">
        <f aca="false">+(T22-S22)*U22</f>
        <v>19320.0000000001</v>
      </c>
      <c r="W22" s="441" t="s">
        <v>189</v>
      </c>
    </row>
    <row r="23" customFormat="false" ht="10.5" hidden="false" customHeight="true" outlineLevel="0" collapsed="false">
      <c r="B23" s="344" t="s">
        <v>126</v>
      </c>
      <c r="C23" s="62" t="n">
        <v>22</v>
      </c>
      <c r="D23" s="261" t="n">
        <v>-120674.529771407</v>
      </c>
      <c r="E23" s="427"/>
      <c r="F23" s="61"/>
      <c r="G23" s="428"/>
      <c r="H23" s="331" t="n">
        <f aca="false">+D23</f>
        <v>-120674.529771407</v>
      </c>
      <c r="J23" s="429" t="n">
        <v>26.5</v>
      </c>
      <c r="K23" s="433" t="n">
        <v>25.5</v>
      </c>
      <c r="L23" s="392" t="n">
        <f aca="false">+K23-J23</f>
        <v>-1</v>
      </c>
      <c r="M23" s="406" t="n">
        <f aca="false">+H23*L23</f>
        <v>120674.529771407</v>
      </c>
      <c r="N23" s="392"/>
      <c r="O23" s="434"/>
      <c r="P23" s="435"/>
      <c r="S23" s="541" t="n">
        <f aca="false">+K41</f>
        <v>43.75</v>
      </c>
      <c r="T23" s="392" t="n">
        <v>44.8</v>
      </c>
      <c r="U23" s="240" t="n">
        <v>33400</v>
      </c>
      <c r="V23" s="420" t="n">
        <f aca="false">+(T23-S23)*U23</f>
        <v>35069.9999999999</v>
      </c>
      <c r="W23" s="1" t="s">
        <v>190</v>
      </c>
    </row>
    <row r="24" customFormat="false" ht="10.5" hidden="false" customHeight="true" outlineLevel="0" collapsed="false">
      <c r="B24" s="344" t="s">
        <v>127</v>
      </c>
      <c r="C24" s="62" t="n">
        <v>22</v>
      </c>
      <c r="D24" s="261" t="n">
        <v>-154798.25027834</v>
      </c>
      <c r="E24" s="427"/>
      <c r="F24" s="61"/>
      <c r="G24" s="428"/>
      <c r="H24" s="331" t="n">
        <f aca="false">+D24</f>
        <v>-154798.25027834</v>
      </c>
      <c r="J24" s="429" t="n">
        <v>28.35</v>
      </c>
      <c r="K24" s="433" t="n">
        <v>27.75</v>
      </c>
      <c r="L24" s="392" t="n">
        <f aca="false">+K24-J24</f>
        <v>-0.600000000000001</v>
      </c>
      <c r="M24" s="406" t="n">
        <f aca="false">+H24*L24</f>
        <v>92878.9501670041</v>
      </c>
      <c r="N24" s="392"/>
      <c r="O24" s="434" t="s">
        <v>169</v>
      </c>
      <c r="P24" s="443"/>
      <c r="S24" s="408" t="n">
        <f aca="false">+K30</f>
        <v>27.25</v>
      </c>
      <c r="T24" s="392" t="n">
        <v>27.35</v>
      </c>
      <c r="U24" s="240" t="n">
        <v>50200</v>
      </c>
      <c r="V24" s="420" t="n">
        <f aca="false">+(T24-S24)*U24</f>
        <v>5020.00000000007</v>
      </c>
      <c r="W24" s="441"/>
    </row>
    <row r="25" customFormat="false" ht="10.5" hidden="false" customHeight="true" outlineLevel="0" collapsed="false">
      <c r="B25" s="344" t="s">
        <v>128</v>
      </c>
      <c r="C25" s="62" t="n">
        <v>20</v>
      </c>
      <c r="D25" s="261" t="n">
        <v>62389.9302053539</v>
      </c>
      <c r="E25" s="427"/>
      <c r="F25" s="61"/>
      <c r="G25" s="428"/>
      <c r="H25" s="331" t="n">
        <f aca="false">+D25</f>
        <v>62389.9302053539</v>
      </c>
      <c r="J25" s="429" t="n">
        <v>32.45</v>
      </c>
      <c r="K25" s="433" t="n">
        <v>31.15</v>
      </c>
      <c r="L25" s="392" t="n">
        <f aca="false">+K25-J25</f>
        <v>-1.3</v>
      </c>
      <c r="M25" s="406" t="n">
        <f aca="false">+H25*L25</f>
        <v>-81106.9092669603</v>
      </c>
      <c r="N25" s="392"/>
      <c r="O25" s="434" t="s">
        <v>170</v>
      </c>
      <c r="P25" s="439" t="n">
        <f aca="false">+V51</f>
        <v>351244.428571427</v>
      </c>
      <c r="S25" s="405" t="n">
        <v>33.5</v>
      </c>
      <c r="T25" s="540" t="n">
        <f aca="false">+K47</f>
        <v>32.7749019607843</v>
      </c>
      <c r="U25" s="240" t="n">
        <v>204000</v>
      </c>
      <c r="V25" s="420" t="n">
        <f aca="false">+(T25-S25)*U25</f>
        <v>-147920.000000002</v>
      </c>
      <c r="W25" s="1" t="s">
        <v>191</v>
      </c>
    </row>
    <row r="26" customFormat="false" ht="10.5" hidden="false" customHeight="true" outlineLevel="0" collapsed="false">
      <c r="B26" s="344" t="s">
        <v>129</v>
      </c>
      <c r="C26" s="62" t="n">
        <v>22</v>
      </c>
      <c r="D26" s="261" t="n">
        <v>-119787.379055786</v>
      </c>
      <c r="E26" s="427"/>
      <c r="F26" s="61"/>
      <c r="G26" s="428"/>
      <c r="H26" s="331" t="n">
        <f aca="false">+D26</f>
        <v>-119787.379055786</v>
      </c>
      <c r="J26" s="429" t="n">
        <v>41</v>
      </c>
      <c r="K26" s="433" t="n">
        <v>39.9</v>
      </c>
      <c r="L26" s="392" t="n">
        <f aca="false">+K26-J26</f>
        <v>-1.1</v>
      </c>
      <c r="M26" s="406" t="n">
        <f aca="false">+H26*L26</f>
        <v>131766.116961365</v>
      </c>
      <c r="N26" s="392"/>
      <c r="O26" s="434"/>
      <c r="P26" s="435"/>
      <c r="S26" s="405" t="n">
        <v>33.25</v>
      </c>
      <c r="T26" s="540" t="n">
        <f aca="false">+K47</f>
        <v>32.7749019607843</v>
      </c>
      <c r="U26" s="240" t="n">
        <v>204000</v>
      </c>
      <c r="V26" s="420" t="n">
        <f aca="false">+(T26-S26)*U26</f>
        <v>-96920.0000000017</v>
      </c>
      <c r="W26" s="441" t="s">
        <v>191</v>
      </c>
    </row>
    <row r="27" customFormat="false" ht="10.5" hidden="false" customHeight="true" outlineLevel="0" collapsed="false">
      <c r="B27" s="344" t="s">
        <v>130</v>
      </c>
      <c r="C27" s="62" t="n">
        <v>22</v>
      </c>
      <c r="D27" s="261" t="n">
        <v>-119458.740416252</v>
      </c>
      <c r="E27" s="427"/>
      <c r="F27" s="61"/>
      <c r="G27" s="428"/>
      <c r="H27" s="331" t="n">
        <f aca="false">+D27</f>
        <v>-119458.740416252</v>
      </c>
      <c r="J27" s="429" t="n">
        <v>41</v>
      </c>
      <c r="K27" s="433" t="n">
        <v>39.9</v>
      </c>
      <c r="L27" s="392" t="n">
        <f aca="false">+K27-J27</f>
        <v>-1.1</v>
      </c>
      <c r="M27" s="406" t="n">
        <f aca="false">+H27*L27</f>
        <v>131404.614457877</v>
      </c>
      <c r="N27" s="392"/>
      <c r="O27" s="444" t="s">
        <v>171</v>
      </c>
      <c r="P27" s="445" t="n">
        <f aca="false">SUM(P17:P25)</f>
        <v>167410.32207578</v>
      </c>
      <c r="S27" s="408" t="n">
        <f aca="false">+K54</f>
        <v>22.75</v>
      </c>
      <c r="T27" s="392" t="n">
        <v>23.95</v>
      </c>
      <c r="U27" s="240" t="n">
        <v>233600</v>
      </c>
      <c r="V27" s="420" t="n">
        <f aca="false">+(T27-S27)*U27</f>
        <v>280320</v>
      </c>
      <c r="W27" s="1" t="s">
        <v>192</v>
      </c>
    </row>
    <row r="28" customFormat="false" ht="10.5" hidden="false" customHeight="true" outlineLevel="0" collapsed="false">
      <c r="B28" s="344" t="s">
        <v>131</v>
      </c>
      <c r="C28" s="62" t="n">
        <v>20</v>
      </c>
      <c r="D28" s="261" t="n">
        <v>-15468.8415975083</v>
      </c>
      <c r="E28" s="427"/>
      <c r="F28" s="61"/>
      <c r="G28" s="428"/>
      <c r="H28" s="331" t="n">
        <f aca="false">+D28</f>
        <v>-15468.8415975083</v>
      </c>
      <c r="J28" s="429" t="n">
        <v>29.25</v>
      </c>
      <c r="K28" s="433" t="n">
        <v>28.3</v>
      </c>
      <c r="L28" s="392" t="n">
        <f aca="false">+K28-J28</f>
        <v>-0.949999999999999</v>
      </c>
      <c r="M28" s="406" t="n">
        <f aca="false">+H28*L28</f>
        <v>14695.3995176328</v>
      </c>
      <c r="N28" s="392"/>
      <c r="S28" s="405"/>
      <c r="T28" s="405"/>
      <c r="U28" s="240"/>
      <c r="V28" s="420"/>
      <c r="W28" s="392" t="n">
        <f aca="false">SUM(V3:V27)</f>
        <v>376752.999999996</v>
      </c>
    </row>
    <row r="29" customFormat="false" ht="10.5" hidden="false" customHeight="true" outlineLevel="0" collapsed="false">
      <c r="B29" s="344" t="s">
        <v>114</v>
      </c>
      <c r="C29" s="62" t="n">
        <v>23</v>
      </c>
      <c r="D29" s="261" t="n">
        <v>-35470.4931451225</v>
      </c>
      <c r="E29" s="427"/>
      <c r="F29" s="61"/>
      <c r="G29" s="428"/>
      <c r="H29" s="331" t="n">
        <f aca="false">+D29</f>
        <v>-35470.4931451225</v>
      </c>
      <c r="J29" s="429" t="n">
        <v>28.27</v>
      </c>
      <c r="K29" s="433" t="n">
        <v>27.25</v>
      </c>
      <c r="L29" s="392" t="n">
        <f aca="false">+K29-J29</f>
        <v>-1.02</v>
      </c>
      <c r="M29" s="406" t="n">
        <f aca="false">+H29*L29</f>
        <v>36179.9030080249</v>
      </c>
      <c r="N29" s="392"/>
      <c r="O29" s="62"/>
      <c r="P29" s="62"/>
      <c r="S29" s="446" t="s">
        <v>99</v>
      </c>
      <c r="T29" s="447"/>
      <c r="U29" s="417"/>
      <c r="V29" s="417"/>
    </row>
    <row r="30" customFormat="false" ht="10.5" hidden="false" customHeight="true" outlineLevel="0" collapsed="false">
      <c r="B30" s="344" t="s">
        <v>115</v>
      </c>
      <c r="C30" s="62" t="n">
        <v>20</v>
      </c>
      <c r="D30" s="261" t="n">
        <v>-30747.608747212</v>
      </c>
      <c r="E30" s="427"/>
      <c r="F30" s="61"/>
      <c r="G30" s="428"/>
      <c r="H30" s="331" t="n">
        <f aca="false">+D30</f>
        <v>-30747.608747212</v>
      </c>
      <c r="J30" s="429" t="n">
        <v>28.27</v>
      </c>
      <c r="K30" s="433" t="n">
        <v>27.25</v>
      </c>
      <c r="L30" s="392" t="n">
        <f aca="false">+K30-J30</f>
        <v>-1.02</v>
      </c>
      <c r="M30" s="406" t="n">
        <f aca="false">+H30*L30</f>
        <v>31362.5609221563</v>
      </c>
      <c r="N30" s="392"/>
      <c r="O30" s="448" t="s">
        <v>48</v>
      </c>
      <c r="P30" s="449" t="n">
        <f aca="false">+P27-P31</f>
        <v>2203741.91125754</v>
      </c>
      <c r="S30" s="419"/>
      <c r="T30" s="419"/>
      <c r="U30" s="261"/>
      <c r="V30" s="405" t="n">
        <f aca="false">+(T30-S30)*U30</f>
        <v>0</v>
      </c>
    </row>
    <row r="31" customFormat="false" ht="10.5" hidden="false" customHeight="true" outlineLevel="0" collapsed="false">
      <c r="B31" s="360" t="s">
        <v>134</v>
      </c>
      <c r="C31" s="361" t="n">
        <v>21</v>
      </c>
      <c r="D31" s="450" t="n">
        <v>-32180.650364681</v>
      </c>
      <c r="E31" s="437"/>
      <c r="F31" s="436"/>
      <c r="G31" s="438"/>
      <c r="H31" s="343" t="n">
        <f aca="false">+D31</f>
        <v>-32180.650364681</v>
      </c>
      <c r="J31" s="429" t="n">
        <v>28.27</v>
      </c>
      <c r="K31" s="451" t="n">
        <v>27.25</v>
      </c>
      <c r="L31" s="392" t="n">
        <f aca="false">+K31-J31</f>
        <v>-1.02</v>
      </c>
      <c r="M31" s="406" t="n">
        <f aca="false">+H31*L31</f>
        <v>32824.2633719746</v>
      </c>
      <c r="N31" s="392"/>
      <c r="O31" s="452" t="s">
        <v>49</v>
      </c>
      <c r="P31" s="453" t="n">
        <f aca="false">+P22+W49</f>
        <v>-2036331.58918176</v>
      </c>
      <c r="S31" s="542" t="n">
        <f aca="false">+K68</f>
        <v>3.529</v>
      </c>
      <c r="T31" s="533" t="n">
        <v>3.6</v>
      </c>
      <c r="U31" s="261" t="n">
        <v>1825000</v>
      </c>
      <c r="V31" s="405" t="n">
        <f aca="false">+(T31-S31)*U31</f>
        <v>129575</v>
      </c>
    </row>
    <row r="32" customFormat="false" ht="10.5" hidden="false" customHeight="true" outlineLevel="0" collapsed="false">
      <c r="C32" s="284" t="n">
        <f aca="false">SUM(C20:C31)</f>
        <v>255</v>
      </c>
      <c r="D32" s="283" t="n">
        <f aca="false">SUM(D20:D31)</f>
        <v>-913255.398848578</v>
      </c>
      <c r="E32" s="283"/>
      <c r="F32" s="61"/>
      <c r="H32" s="61" t="n">
        <f aca="false">SUM(H20:H31)</f>
        <v>-913255.398848578</v>
      </c>
      <c r="J32" s="454" t="n">
        <v>30.38</v>
      </c>
      <c r="K32" s="455" t="n">
        <v>29.3878431372549</v>
      </c>
      <c r="L32" s="456" t="n">
        <f aca="false">+K32-J32</f>
        <v>-0.992156862745095</v>
      </c>
      <c r="M32" s="457"/>
      <c r="N32" s="406"/>
      <c r="S32" s="419"/>
      <c r="T32" s="419"/>
      <c r="U32" s="261"/>
      <c r="V32" s="405" t="n">
        <f aca="false">+(T32-S32)*U32</f>
        <v>0</v>
      </c>
    </row>
    <row r="33" customFormat="false" ht="10.5" hidden="false" customHeight="true" outlineLevel="0" collapsed="false">
      <c r="C33" s="1"/>
      <c r="D33" s="1"/>
      <c r="E33" s="1"/>
      <c r="J33" s="458"/>
      <c r="K33" s="459" t="n">
        <v>29.35</v>
      </c>
      <c r="L33" s="460"/>
      <c r="M33" s="461"/>
      <c r="N33" s="462"/>
      <c r="Q33" s="405"/>
      <c r="S33" s="533" t="n">
        <v>3.285</v>
      </c>
      <c r="T33" s="542" t="n">
        <f aca="false">+K64</f>
        <v>3.11</v>
      </c>
      <c r="U33" s="261" t="n">
        <v>620000</v>
      </c>
      <c r="V33" s="405" t="n">
        <f aca="false">+(T33-S33)*U33</f>
        <v>-108500</v>
      </c>
    </row>
    <row r="34" customFormat="false" ht="10.5" hidden="false" customHeight="true" outlineLevel="0" collapsed="false">
      <c r="B34" s="352" t="n">
        <v>2003</v>
      </c>
      <c r="C34" s="61"/>
      <c r="D34" s="350"/>
      <c r="H34" s="61"/>
      <c r="J34" s="463"/>
      <c r="K34" s="350"/>
      <c r="L34" s="464"/>
      <c r="M34" s="463"/>
      <c r="N34" s="462"/>
      <c r="Q34" s="405"/>
      <c r="S34" s="419"/>
      <c r="T34" s="419"/>
      <c r="U34" s="261"/>
      <c r="V34" s="405" t="n">
        <f aca="false">+(T34-S34)*U34</f>
        <v>0</v>
      </c>
    </row>
    <row r="35" customFormat="false" ht="10.5" hidden="false" customHeight="true" outlineLevel="0" collapsed="false">
      <c r="B35" s="355" t="s">
        <v>120</v>
      </c>
      <c r="C35" s="333" t="n">
        <v>22</v>
      </c>
      <c r="D35" s="334" t="n">
        <v>-33599.7143722237</v>
      </c>
      <c r="E35" s="319"/>
      <c r="F35" s="319"/>
      <c r="G35" s="319"/>
      <c r="H35" s="465" t="n">
        <f aca="false">+D35</f>
        <v>-33599.7143722237</v>
      </c>
      <c r="J35" s="392" t="n">
        <v>30.85</v>
      </c>
      <c r="K35" s="466" t="n">
        <v>30.3</v>
      </c>
      <c r="L35" s="392" t="n">
        <f aca="false">+K35-J35</f>
        <v>-0.550000000000001</v>
      </c>
      <c r="M35" s="406" t="n">
        <f aca="false">+H35*L35</f>
        <v>18479.8429047231</v>
      </c>
      <c r="N35" s="462"/>
      <c r="Q35" s="405"/>
      <c r="S35" s="533" t="n">
        <v>3.23</v>
      </c>
      <c r="T35" s="542" t="n">
        <f aca="false">+K66</f>
        <v>3.08942857142857</v>
      </c>
      <c r="U35" s="261" t="n">
        <v>1065000</v>
      </c>
      <c r="V35" s="405" t="n">
        <f aca="false">+(T35-S35)*U35</f>
        <v>-149708.571428571</v>
      </c>
    </row>
    <row r="36" customFormat="false" ht="10.5" hidden="false" customHeight="true" outlineLevel="0" collapsed="false">
      <c r="B36" s="344" t="s">
        <v>122</v>
      </c>
      <c r="C36" s="62" t="n">
        <v>20</v>
      </c>
      <c r="D36" s="261" t="n">
        <v>-30438.3553014079</v>
      </c>
      <c r="H36" s="467" t="n">
        <f aca="false">+D36</f>
        <v>-30438.3553014079</v>
      </c>
      <c r="J36" s="392" t="n">
        <v>30.85</v>
      </c>
      <c r="K36" s="433" t="n">
        <v>30.3</v>
      </c>
      <c r="L36" s="392" t="n">
        <f aca="false">+K36-J36</f>
        <v>-0.550000000000001</v>
      </c>
      <c r="M36" s="406" t="n">
        <f aca="false">+H36*L36</f>
        <v>16741.0954157744</v>
      </c>
      <c r="N36" s="462"/>
      <c r="Q36" s="405"/>
      <c r="S36" s="419"/>
      <c r="T36" s="419"/>
      <c r="U36" s="261"/>
      <c r="V36" s="405" t="n">
        <f aca="false">+(T36-S36)*U36</f>
        <v>0</v>
      </c>
    </row>
    <row r="37" customFormat="false" ht="10.5" hidden="false" customHeight="true" outlineLevel="0" collapsed="false">
      <c r="B37" s="344" t="s">
        <v>124</v>
      </c>
      <c r="C37" s="62" t="n">
        <v>21</v>
      </c>
      <c r="D37" s="261" t="n">
        <v>-63708.2977743887</v>
      </c>
      <c r="H37" s="467" t="n">
        <f aca="false">+D37</f>
        <v>-63708.2977743887</v>
      </c>
      <c r="J37" s="392" t="n">
        <v>29.754</v>
      </c>
      <c r="K37" s="433" t="n">
        <v>29.1</v>
      </c>
      <c r="L37" s="392" t="n">
        <f aca="false">+K37-J37</f>
        <v>-0.654</v>
      </c>
      <c r="M37" s="406" t="n">
        <f aca="false">+H37*L37</f>
        <v>41665.2267444502</v>
      </c>
      <c r="N37" s="462"/>
      <c r="Q37" s="405"/>
      <c r="S37" s="542" t="n">
        <f aca="false">+K68</f>
        <v>3.529</v>
      </c>
      <c r="T37" s="533" t="n">
        <v>3.62</v>
      </c>
      <c r="U37" s="261" t="n">
        <v>912500</v>
      </c>
      <c r="V37" s="405" t="n">
        <f aca="false">+(T37-S37)*U37</f>
        <v>83037.5000000002</v>
      </c>
    </row>
    <row r="38" customFormat="false" ht="10.5" hidden="false" customHeight="true" outlineLevel="0" collapsed="false">
      <c r="B38" s="344" t="s">
        <v>126</v>
      </c>
      <c r="C38" s="62" t="n">
        <v>22</v>
      </c>
      <c r="D38" s="261" t="n">
        <v>-66495.1005700428</v>
      </c>
      <c r="H38" s="467" t="n">
        <f aca="false">+D38</f>
        <v>-66495.1005700428</v>
      </c>
      <c r="J38" s="392" t="n">
        <v>29.75</v>
      </c>
      <c r="K38" s="433" t="n">
        <v>29.1</v>
      </c>
      <c r="L38" s="392" t="n">
        <f aca="false">+K38-J38</f>
        <v>-0.649999999999999</v>
      </c>
      <c r="M38" s="406" t="n">
        <f aca="false">+H38*L38</f>
        <v>43221.8153705277</v>
      </c>
      <c r="N38" s="462"/>
      <c r="Q38" s="405"/>
      <c r="S38" s="533" t="n">
        <v>3.495</v>
      </c>
      <c r="T38" s="533" t="n">
        <v>3.61</v>
      </c>
      <c r="U38" s="261" t="n">
        <v>1825000</v>
      </c>
      <c r="V38" s="405" t="n">
        <f aca="false">+(T38-S38)*U38</f>
        <v>209875</v>
      </c>
    </row>
    <row r="39" customFormat="false" ht="10.5" hidden="false" customHeight="true" outlineLevel="0" collapsed="false">
      <c r="B39" s="344" t="s">
        <v>127</v>
      </c>
      <c r="C39" s="62" t="n">
        <v>21</v>
      </c>
      <c r="D39" s="261" t="n">
        <v>-63236.5292459788</v>
      </c>
      <c r="H39" s="467" t="n">
        <f aca="false">+D39</f>
        <v>-63236.5292459788</v>
      </c>
      <c r="J39" s="392" t="n">
        <v>31.9</v>
      </c>
      <c r="K39" s="433" t="n">
        <v>31.35</v>
      </c>
      <c r="L39" s="392" t="n">
        <f aca="false">+K39-J39</f>
        <v>-0.549999999999997</v>
      </c>
      <c r="M39" s="406" t="n">
        <f aca="false">+H39*L39</f>
        <v>34780.0910852881</v>
      </c>
      <c r="N39" s="462"/>
      <c r="Q39" s="405"/>
      <c r="S39" s="533" t="n">
        <v>3.545</v>
      </c>
      <c r="T39" s="533" t="n">
        <v>3.6</v>
      </c>
      <c r="U39" s="261" t="n">
        <v>1825000</v>
      </c>
      <c r="V39" s="405" t="n">
        <f aca="false">+(T39-S39)*U39</f>
        <v>100375</v>
      </c>
    </row>
    <row r="40" customFormat="false" ht="10.5" hidden="false" customHeight="true" outlineLevel="0" collapsed="false">
      <c r="B40" s="344" t="s">
        <v>128</v>
      </c>
      <c r="C40" s="62" t="n">
        <v>21</v>
      </c>
      <c r="D40" s="261" t="n">
        <v>-94489.6508819321</v>
      </c>
      <c r="H40" s="467" t="n">
        <f aca="false">+D40</f>
        <v>-94489.6508819321</v>
      </c>
      <c r="J40" s="392" t="n">
        <v>35.75</v>
      </c>
      <c r="K40" s="433" t="n">
        <v>35.05</v>
      </c>
      <c r="L40" s="392" t="n">
        <f aca="false">+K40-J40</f>
        <v>-0.700000000000003</v>
      </c>
      <c r="M40" s="406" t="n">
        <f aca="false">+H40*L40</f>
        <v>66142.7556173528</v>
      </c>
      <c r="N40" s="462"/>
      <c r="Q40" s="405"/>
      <c r="S40" s="419"/>
      <c r="T40" s="419"/>
      <c r="U40" s="261"/>
      <c r="V40" s="405" t="n">
        <f aca="false">+(T40-S40)*U40</f>
        <v>0</v>
      </c>
    </row>
    <row r="41" customFormat="false" ht="10.5" hidden="false" customHeight="true" outlineLevel="0" collapsed="false">
      <c r="B41" s="344" t="s">
        <v>129</v>
      </c>
      <c r="C41" s="62" t="n">
        <v>22</v>
      </c>
      <c r="D41" s="261" t="n">
        <v>-65736.7892385103</v>
      </c>
      <c r="H41" s="467" t="n">
        <f aca="false">+D41</f>
        <v>-65736.7892385103</v>
      </c>
      <c r="J41" s="392" t="n">
        <v>43.9</v>
      </c>
      <c r="K41" s="433" t="n">
        <v>43.75</v>
      </c>
      <c r="L41" s="392" t="n">
        <f aca="false">+K41-J41</f>
        <v>-0.149999999999999</v>
      </c>
      <c r="M41" s="406" t="n">
        <f aca="false">+H41*L41</f>
        <v>9860.51838577646</v>
      </c>
      <c r="N41" s="462"/>
      <c r="Q41" s="405"/>
      <c r="S41" s="533" t="n">
        <v>3.235</v>
      </c>
      <c r="T41" s="542" t="n">
        <f aca="false">+K67</f>
        <v>3.15475</v>
      </c>
      <c r="U41" s="261" t="n">
        <v>1825000</v>
      </c>
      <c r="V41" s="405" t="n">
        <f aca="false">+(T41-S41)*U41</f>
        <v>-146456.249999999</v>
      </c>
    </row>
    <row r="42" customFormat="false" ht="10.5" hidden="false" customHeight="true" outlineLevel="0" collapsed="false">
      <c r="B42" s="344" t="s">
        <v>130</v>
      </c>
      <c r="C42" s="62" t="n">
        <v>21</v>
      </c>
      <c r="D42" s="261" t="n">
        <v>-62496.1827698459</v>
      </c>
      <c r="H42" s="467" t="n">
        <f aca="false">+D42</f>
        <v>-62496.1827698459</v>
      </c>
      <c r="J42" s="392" t="n">
        <v>43.9</v>
      </c>
      <c r="K42" s="433" t="n">
        <v>43.75</v>
      </c>
      <c r="L42" s="392" t="n">
        <f aca="false">+K42-J42</f>
        <v>-0.149999999999999</v>
      </c>
      <c r="M42" s="406" t="n">
        <f aca="false">+H42*L42</f>
        <v>9374.4274154768</v>
      </c>
      <c r="N42" s="462"/>
      <c r="Q42" s="405"/>
      <c r="S42" s="533" t="n">
        <v>3.225</v>
      </c>
      <c r="T42" s="542" t="n">
        <f aca="false">+K67</f>
        <v>3.15475</v>
      </c>
      <c r="U42" s="261" t="n">
        <v>1825000</v>
      </c>
      <c r="V42" s="405" t="n">
        <f aca="false">+(T42-S42)*U42</f>
        <v>-128206.249999999</v>
      </c>
    </row>
    <row r="43" customFormat="false" ht="10.5" hidden="false" customHeight="true" outlineLevel="0" collapsed="false">
      <c r="B43" s="344" t="s">
        <v>131</v>
      </c>
      <c r="C43" s="62" t="n">
        <v>21</v>
      </c>
      <c r="D43" s="261" t="n">
        <v>0</v>
      </c>
      <c r="H43" s="467" t="n">
        <f aca="false">+D43</f>
        <v>0</v>
      </c>
      <c r="J43" s="392" t="n">
        <v>30.95</v>
      </c>
      <c r="K43" s="433" t="n">
        <v>31.45</v>
      </c>
      <c r="L43" s="392" t="n">
        <f aca="false">+K43-J43</f>
        <v>0.5</v>
      </c>
      <c r="M43" s="406" t="n">
        <f aca="false">+H43*L43</f>
        <v>0</v>
      </c>
      <c r="N43" s="462"/>
      <c r="Q43" s="405"/>
      <c r="S43" s="419"/>
      <c r="T43" s="419"/>
      <c r="U43" s="261"/>
      <c r="V43" s="405" t="n">
        <f aca="false">+(T43-S43)*U43</f>
        <v>0</v>
      </c>
    </row>
    <row r="44" customFormat="false" ht="10.5" hidden="false" customHeight="true" outlineLevel="0" collapsed="false">
      <c r="B44" s="344" t="s">
        <v>114</v>
      </c>
      <c r="C44" s="62" t="n">
        <v>23</v>
      </c>
      <c r="D44" s="261" t="n">
        <v>-50911.3604067831</v>
      </c>
      <c r="H44" s="467" t="n">
        <f aca="false">+D44</f>
        <v>-50911.3604067831</v>
      </c>
      <c r="J44" s="392" t="n">
        <v>29.83</v>
      </c>
      <c r="K44" s="433" t="n">
        <v>29.65</v>
      </c>
      <c r="L44" s="392" t="n">
        <f aca="false">+K44-J44</f>
        <v>-0.18</v>
      </c>
      <c r="M44" s="406" t="n">
        <f aca="false">+H44*L44</f>
        <v>9164.04487322095</v>
      </c>
      <c r="N44" s="462"/>
      <c r="Q44" s="405"/>
      <c r="S44" s="542" t="n">
        <f aca="false">+K63</f>
        <v>2.935</v>
      </c>
      <c r="T44" s="419" t="n">
        <v>2.91</v>
      </c>
      <c r="U44" s="261" t="n">
        <v>620000</v>
      </c>
      <c r="V44" s="405" t="n">
        <f aca="false">+(T44-S44)*U44</f>
        <v>-15499.9999999999</v>
      </c>
    </row>
    <row r="45" customFormat="false" ht="10.5" hidden="false" customHeight="true" outlineLevel="0" collapsed="false">
      <c r="B45" s="344" t="s">
        <v>115</v>
      </c>
      <c r="C45" s="62" t="n">
        <v>19</v>
      </c>
      <c r="D45" s="261" t="n">
        <v>-41878.9166820078</v>
      </c>
      <c r="H45" s="467" t="n">
        <f aca="false">+D45</f>
        <v>-41878.9166820078</v>
      </c>
      <c r="J45" s="392" t="n">
        <v>29.83</v>
      </c>
      <c r="K45" s="433" t="n">
        <v>29.65</v>
      </c>
      <c r="L45" s="392" t="n">
        <f aca="false">+K45-J45</f>
        <v>-0.18</v>
      </c>
      <c r="M45" s="406" t="n">
        <f aca="false">+H45*L45</f>
        <v>7538.2050027614</v>
      </c>
      <c r="N45" s="462"/>
      <c r="Q45" s="405"/>
      <c r="S45" s="419"/>
      <c r="T45" s="419"/>
      <c r="U45" s="261"/>
      <c r="V45" s="405" t="n">
        <f aca="false">+(T45-S45)*U45</f>
        <v>0</v>
      </c>
    </row>
    <row r="46" customFormat="false" ht="10.5" hidden="false" customHeight="true" outlineLevel="0" collapsed="false">
      <c r="B46" s="360" t="s">
        <v>134</v>
      </c>
      <c r="C46" s="361" t="n">
        <v>22</v>
      </c>
      <c r="D46" s="450" t="n">
        <v>-48285.5209490259</v>
      </c>
      <c r="E46" s="342"/>
      <c r="F46" s="342"/>
      <c r="G46" s="342"/>
      <c r="H46" s="468" t="n">
        <f aca="false">+D46</f>
        <v>-48285.5209490259</v>
      </c>
      <c r="J46" s="392" t="n">
        <v>29.83</v>
      </c>
      <c r="K46" s="451" t="n">
        <v>29.65</v>
      </c>
      <c r="L46" s="392" t="n">
        <f aca="false">+K46-J46</f>
        <v>-0.18</v>
      </c>
      <c r="M46" s="406" t="n">
        <f aca="false">+H46*L46</f>
        <v>8691.39377082465</v>
      </c>
      <c r="N46" s="462"/>
      <c r="Q46" s="405"/>
      <c r="S46" s="419"/>
      <c r="T46" s="419"/>
      <c r="U46" s="261"/>
      <c r="V46" s="405" t="n">
        <f aca="false">+(T46-S46)*U46</f>
        <v>0</v>
      </c>
    </row>
    <row r="47" customFormat="false" ht="10.5" hidden="false" customHeight="true" outlineLevel="0" collapsed="false">
      <c r="B47" s="351"/>
      <c r="C47" s="113" t="n">
        <f aca="false">SUM(C35:C46)</f>
        <v>255</v>
      </c>
      <c r="D47" s="261" t="n">
        <f aca="false">SUM(D35:D46)</f>
        <v>-621276.418192147</v>
      </c>
      <c r="H47" s="61" t="n">
        <f aca="false">SUM(H35:H46)</f>
        <v>-621276.418192147</v>
      </c>
      <c r="J47" s="454" t="n">
        <v>33.12</v>
      </c>
      <c r="K47" s="455" t="n">
        <v>32.7749019607843</v>
      </c>
      <c r="L47" s="456" t="n">
        <f aca="false">+K47-J47</f>
        <v>-0.345098039215692</v>
      </c>
      <c r="M47" s="457"/>
      <c r="N47" s="462"/>
      <c r="Q47" s="405"/>
      <c r="S47" s="419"/>
      <c r="T47" s="419"/>
      <c r="U47" s="261"/>
      <c r="V47" s="405" t="n">
        <f aca="false">+(T47-S47)*U47</f>
        <v>0</v>
      </c>
    </row>
    <row r="48" customFormat="false" ht="10.5" hidden="false" customHeight="true" outlineLevel="0" collapsed="false">
      <c r="B48" s="351"/>
      <c r="C48" s="62"/>
      <c r="D48" s="261"/>
      <c r="H48" s="61"/>
      <c r="J48" s="458"/>
      <c r="K48" s="469"/>
      <c r="L48" s="460"/>
      <c r="M48" s="461"/>
      <c r="N48" s="462"/>
      <c r="Q48" s="405"/>
      <c r="S48" s="419"/>
      <c r="T48" s="419"/>
      <c r="U48" s="261"/>
      <c r="V48" s="405" t="n">
        <f aca="false">+(T48-S48)*U48</f>
        <v>0</v>
      </c>
    </row>
    <row r="49" customFormat="false" ht="10.5" hidden="false" customHeight="true" outlineLevel="0" collapsed="false">
      <c r="C49" s="1"/>
      <c r="D49" s="1"/>
      <c r="E49" s="1"/>
      <c r="J49" s="463"/>
      <c r="K49" s="350"/>
      <c r="L49" s="464"/>
      <c r="M49" s="463"/>
      <c r="N49" s="462"/>
      <c r="Q49" s="405"/>
      <c r="S49" s="419"/>
      <c r="T49" s="419"/>
      <c r="U49" s="261"/>
      <c r="V49" s="405"/>
      <c r="W49" s="406" t="n">
        <f aca="false">SUM(V30:V48)</f>
        <v>-25508.5714285697</v>
      </c>
    </row>
    <row r="50" customFormat="false" ht="10.5" hidden="false" customHeight="true" outlineLevel="0" collapsed="false">
      <c r="B50" s="470" t="s">
        <v>94</v>
      </c>
      <c r="C50" s="281" t="n">
        <v>257</v>
      </c>
      <c r="D50" s="471" t="n">
        <v>-555120</v>
      </c>
      <c r="E50" s="281"/>
      <c r="F50" s="472"/>
      <c r="G50" s="473"/>
      <c r="H50" s="474" t="n">
        <f aca="false">+D50</f>
        <v>-555120</v>
      </c>
      <c r="J50" s="543" t="n">
        <v>34.59</v>
      </c>
      <c r="K50" s="544" t="n">
        <v>34</v>
      </c>
      <c r="L50" s="545" t="n">
        <f aca="false">+K50-J50</f>
        <v>-0.590000000000003</v>
      </c>
      <c r="M50" s="19" t="n">
        <f aca="false">+D50*L50</f>
        <v>327520.800000002</v>
      </c>
      <c r="S50" s="475"/>
      <c r="T50" s="475"/>
    </row>
    <row r="51" customFormat="false" ht="10.5" hidden="false" customHeight="true" outlineLevel="0" collapsed="false">
      <c r="B51" s="546" t="s">
        <v>95</v>
      </c>
      <c r="C51" s="287" t="n">
        <v>255</v>
      </c>
      <c r="D51" s="547" t="n">
        <v>-342720</v>
      </c>
      <c r="E51" s="287"/>
      <c r="F51" s="548"/>
      <c r="G51" s="549"/>
      <c r="H51" s="550" t="n">
        <f aca="false">+D51</f>
        <v>-342720</v>
      </c>
      <c r="J51" s="536" t="n">
        <v>35.62</v>
      </c>
      <c r="K51" s="433" t="n">
        <v>34.85</v>
      </c>
      <c r="L51" s="392" t="n">
        <f aca="false">+K51-J51</f>
        <v>-0.769999999999996</v>
      </c>
      <c r="M51" s="68" t="n">
        <f aca="false">+D51*L51</f>
        <v>263894.399999999</v>
      </c>
      <c r="N51" s="392"/>
      <c r="S51" s="1" t="s">
        <v>172</v>
      </c>
      <c r="V51" s="392" t="n">
        <f aca="false">SUM(V3:V48)</f>
        <v>351244.428571427</v>
      </c>
    </row>
    <row r="52" customFormat="false" ht="10.5" hidden="false" customHeight="true" outlineLevel="0" collapsed="false">
      <c r="B52" s="482" t="s">
        <v>173</v>
      </c>
      <c r="C52" s="483"/>
      <c r="D52" s="484" t="n">
        <v>227641.398544423</v>
      </c>
      <c r="E52" s="485"/>
      <c r="F52" s="484"/>
      <c r="G52" s="486"/>
      <c r="H52" s="551" t="n">
        <f aca="false">+D52</f>
        <v>227641.398544423</v>
      </c>
      <c r="J52" s="536" t="n">
        <v>20.01</v>
      </c>
      <c r="K52" s="488" t="n">
        <v>19.6</v>
      </c>
      <c r="L52" s="392" t="n">
        <f aca="false">+K52-J52</f>
        <v>-0.41</v>
      </c>
      <c r="M52" s="68" t="n">
        <f aca="false">+H52*L52</f>
        <v>-93332.9734032136</v>
      </c>
    </row>
    <row r="53" customFormat="false" ht="9.75" hidden="false" customHeight="false" outlineLevel="0" collapsed="false">
      <c r="B53" s="495" t="s">
        <v>174</v>
      </c>
      <c r="C53" s="496"/>
      <c r="D53" s="497" t="n">
        <v>-218825.77950455</v>
      </c>
      <c r="E53" s="498"/>
      <c r="F53" s="497"/>
      <c r="G53" s="499"/>
      <c r="H53" s="552" t="n">
        <f aca="false">+D53</f>
        <v>-218825.77950455</v>
      </c>
      <c r="J53" s="553" t="n">
        <v>23.1</v>
      </c>
      <c r="K53" s="554" t="n">
        <v>22.25</v>
      </c>
      <c r="L53" s="469" t="n">
        <f aca="false">+K53-J53</f>
        <v>-0.850000000000001</v>
      </c>
      <c r="M53" s="31" t="n">
        <f aca="false">+H53*L53</f>
        <v>186001.912578868</v>
      </c>
    </row>
    <row r="54" customFormat="false" ht="9" hidden="false" customHeight="false" outlineLevel="0" collapsed="false">
      <c r="B54" s="502"/>
      <c r="C54" s="463"/>
      <c r="D54" s="61"/>
      <c r="E54" s="503"/>
      <c r="F54" s="61"/>
      <c r="G54" s="375"/>
      <c r="H54" s="61"/>
      <c r="K54" s="392" t="n">
        <v>22.75</v>
      </c>
      <c r="L54" s="463"/>
    </row>
    <row r="55" customFormat="false" ht="9.75" hidden="false" customHeight="false" outlineLevel="0" collapsed="false">
      <c r="J55" s="350" t="s">
        <v>176</v>
      </c>
      <c r="K55" s="419"/>
      <c r="L55" s="504"/>
      <c r="M55" s="505" t="n">
        <f aca="false">SUM(M15:M53)</f>
        <v>1826988.91125755</v>
      </c>
    </row>
    <row r="56" customFormat="false" ht="9" hidden="false" customHeight="false" outlineLevel="0" collapsed="false">
      <c r="B56" s="296"/>
      <c r="C56" s="297"/>
      <c r="D56" s="297"/>
      <c r="E56" s="297" t="s">
        <v>177</v>
      </c>
      <c r="F56" s="298"/>
      <c r="J56" s="506"/>
      <c r="K56" s="221"/>
      <c r="L56" s="396"/>
      <c r="M56" s="507"/>
      <c r="O56" s="508" t="s">
        <v>120</v>
      </c>
      <c r="P56" s="334" t="n">
        <v>22</v>
      </c>
      <c r="Q56" s="334" t="n">
        <v>50</v>
      </c>
      <c r="R56" s="509" t="n">
        <f aca="false">+Positions!AB23</f>
        <v>0.985670151584004</v>
      </c>
      <c r="S56" s="510" t="n">
        <f aca="false">((+Q56*16)*P56)*R56</f>
        <v>17347.7946678785</v>
      </c>
    </row>
    <row r="57" customFormat="false" ht="9.75" hidden="false" customHeight="false" outlineLevel="0" collapsed="false">
      <c r="B57" s="305" t="s">
        <v>105</v>
      </c>
      <c r="C57" s="308"/>
      <c r="D57" s="308"/>
      <c r="E57" s="308"/>
      <c r="F57" s="309"/>
      <c r="J57" s="511" t="s">
        <v>178</v>
      </c>
      <c r="K57" s="231"/>
      <c r="L57" s="401"/>
      <c r="M57" s="512"/>
      <c r="N57" s="463"/>
      <c r="O57" s="513" t="s">
        <v>122</v>
      </c>
      <c r="P57" s="261" t="n">
        <v>20</v>
      </c>
      <c r="Q57" s="261" t="n">
        <v>50</v>
      </c>
      <c r="R57" s="514" t="n">
        <f aca="false">+Positions!AB24</f>
        <v>0.983658266601392</v>
      </c>
      <c r="S57" s="515" t="n">
        <f aca="false">((+Q57*16)*P57)*R57</f>
        <v>15738.5322656223</v>
      </c>
    </row>
    <row r="58" customFormat="false" ht="9" hidden="false" customHeight="false" outlineLevel="0" collapsed="false">
      <c r="B58" s="516"/>
      <c r="C58" s="517"/>
      <c r="D58" s="517"/>
      <c r="E58" s="517"/>
      <c r="F58" s="518"/>
      <c r="J58" s="519" t="s">
        <v>179</v>
      </c>
      <c r="K58" s="520" t="s">
        <v>179</v>
      </c>
      <c r="L58" s="521"/>
      <c r="M58" s="522" t="s">
        <v>162</v>
      </c>
      <c r="N58" s="463"/>
      <c r="O58" s="344" t="s">
        <v>124</v>
      </c>
      <c r="P58" s="62" t="n">
        <v>21</v>
      </c>
      <c r="Q58" s="62" t="n">
        <v>50</v>
      </c>
      <c r="R58" s="514" t="n">
        <f aca="false">+Positions!AB25</f>
        <v>0.981756353257804</v>
      </c>
      <c r="S58" s="515" t="n">
        <f aca="false">((+Q58*16)*P58)*R58</f>
        <v>16493.5067347311</v>
      </c>
    </row>
    <row r="59" customFormat="false" ht="9.75" hidden="false" customHeight="false" outlineLevel="0" collapsed="false">
      <c r="B59" s="360"/>
      <c r="C59" s="436"/>
      <c r="D59" s="469" t="s">
        <v>110</v>
      </c>
      <c r="E59" s="436" t="s">
        <v>111</v>
      </c>
      <c r="F59" s="343"/>
      <c r="J59" s="523" t="s">
        <v>157</v>
      </c>
      <c r="K59" s="524" t="s">
        <v>180</v>
      </c>
      <c r="L59" s="525" t="s">
        <v>151</v>
      </c>
      <c r="M59" s="526" t="s">
        <v>164</v>
      </c>
      <c r="N59" s="527"/>
      <c r="O59" s="344" t="s">
        <v>126</v>
      </c>
      <c r="P59" s="62" t="n">
        <v>22</v>
      </c>
      <c r="Q59" s="62" t="n">
        <v>50</v>
      </c>
      <c r="R59" s="514" t="n">
        <f aca="false">+Positions!AB26</f>
        <v>0.979501053339345</v>
      </c>
      <c r="S59" s="515" t="n">
        <f aca="false">((+Q59*16)*P59)*R59</f>
        <v>17239.2185387725</v>
      </c>
    </row>
    <row r="60" customFormat="false" ht="9" hidden="false" customHeight="false" outlineLevel="0" collapsed="false">
      <c r="B60" s="385"/>
      <c r="C60" s="61"/>
      <c r="D60" s="261"/>
      <c r="E60" s="61"/>
      <c r="F60" s="428"/>
      <c r="J60" s="528"/>
      <c r="K60" s="61"/>
      <c r="L60" s="463"/>
      <c r="M60" s="529"/>
      <c r="N60" s="240"/>
      <c r="O60" s="344" t="s">
        <v>127</v>
      </c>
      <c r="P60" s="62" t="n">
        <v>22</v>
      </c>
      <c r="Q60" s="62" t="n">
        <v>200</v>
      </c>
      <c r="R60" s="514" t="n">
        <f aca="false">+Positions!AB27</f>
        <v>0.977261681050126</v>
      </c>
      <c r="S60" s="515" t="n">
        <f aca="false">((+Q60*16)*P60)*R60</f>
        <v>68799.2223459288</v>
      </c>
    </row>
    <row r="61" customFormat="false" ht="9" hidden="false" customHeight="false" outlineLevel="0" collapsed="false">
      <c r="B61" s="52"/>
      <c r="C61" s="530"/>
      <c r="D61" s="261"/>
      <c r="E61" s="61"/>
      <c r="F61" s="428"/>
      <c r="J61" s="531"/>
      <c r="K61" s="419"/>
      <c r="L61" s="419"/>
      <c r="M61" s="532"/>
      <c r="O61" s="344" t="s">
        <v>128</v>
      </c>
      <c r="P61" s="62" t="n">
        <v>20</v>
      </c>
      <c r="Q61" s="62" t="n">
        <v>150</v>
      </c>
      <c r="R61" s="514" t="n">
        <f aca="false">+Positions!AB28</f>
        <v>0.974842659458655</v>
      </c>
      <c r="S61" s="515" t="n">
        <f aca="false">((+Q61*16)*P61)*R61</f>
        <v>46792.4476540154</v>
      </c>
    </row>
    <row r="62" customFormat="false" ht="9" hidden="false" customHeight="false" outlineLevel="0" collapsed="false">
      <c r="B62" s="52" t="s">
        <v>117</v>
      </c>
      <c r="C62" s="530" t="n">
        <v>30</v>
      </c>
      <c r="D62" s="261" t="n">
        <v>0</v>
      </c>
      <c r="E62" s="61" t="n">
        <v>0</v>
      </c>
      <c r="F62" s="428"/>
      <c r="J62" s="531" t="n">
        <v>2.807</v>
      </c>
      <c r="K62" s="533" t="n">
        <v>2.681</v>
      </c>
      <c r="L62" s="419" t="n">
        <f aca="false">+K62-J62</f>
        <v>-0.126</v>
      </c>
      <c r="M62" s="532" t="n">
        <f aca="false">+E62*L62</f>
        <v>-0</v>
      </c>
      <c r="O62" s="344" t="s">
        <v>129</v>
      </c>
      <c r="P62" s="62" t="n">
        <v>22</v>
      </c>
      <c r="Q62" s="62" t="n">
        <v>50</v>
      </c>
      <c r="R62" s="514" t="n">
        <f aca="false">+Positions!AB29</f>
        <v>0.97230015467359</v>
      </c>
      <c r="S62" s="515" t="n">
        <f aca="false">((+Q62*16)*P62)*R62</f>
        <v>17112.4827222552</v>
      </c>
    </row>
    <row r="63" customFormat="false" ht="9" hidden="false" customHeight="false" outlineLevel="0" collapsed="false">
      <c r="B63" s="52" t="s">
        <v>118</v>
      </c>
      <c r="C63" s="530" t="n">
        <v>31</v>
      </c>
      <c r="D63" s="261" t="n">
        <v>20000</v>
      </c>
      <c r="E63" s="61" t="n">
        <v>612357.922496704</v>
      </c>
      <c r="F63" s="428"/>
      <c r="J63" s="531" t="n">
        <v>3.087</v>
      </c>
      <c r="K63" s="533" t="n">
        <v>2.935</v>
      </c>
      <c r="L63" s="419" t="n">
        <f aca="false">+K63-J63</f>
        <v>-0.152</v>
      </c>
      <c r="M63" s="532" t="n">
        <f aca="false">+E63*L63</f>
        <v>-93078.4042194991</v>
      </c>
      <c r="O63" s="344" t="s">
        <v>130</v>
      </c>
      <c r="P63" s="62" t="n">
        <v>22</v>
      </c>
      <c r="Q63" s="62" t="n">
        <v>50</v>
      </c>
      <c r="R63" s="514" t="n">
        <f aca="false">+Positions!AB30</f>
        <v>0.969632633248799</v>
      </c>
      <c r="S63" s="515" t="n">
        <f aca="false">((+Q63*16)*P63)*R63</f>
        <v>17065.5343451789</v>
      </c>
    </row>
    <row r="64" customFormat="false" ht="9" hidden="false" customHeight="false" outlineLevel="0" collapsed="false">
      <c r="B64" s="52" t="s">
        <v>119</v>
      </c>
      <c r="C64" s="530" t="n">
        <v>31</v>
      </c>
      <c r="D64" s="261" t="n">
        <v>0</v>
      </c>
      <c r="E64" s="61" t="n">
        <v>0</v>
      </c>
      <c r="F64" s="428"/>
      <c r="J64" s="531" t="n">
        <v>3.257</v>
      </c>
      <c r="K64" s="533" t="n">
        <v>3.11</v>
      </c>
      <c r="L64" s="419" t="n">
        <f aca="false">+K64-J64</f>
        <v>-0.147</v>
      </c>
      <c r="M64" s="532" t="n">
        <f aca="false">+E64*L64</f>
        <v>-0</v>
      </c>
      <c r="O64" s="344" t="s">
        <v>131</v>
      </c>
      <c r="P64" s="62" t="n">
        <v>20</v>
      </c>
      <c r="Q64" s="62" t="n">
        <v>100</v>
      </c>
      <c r="R64" s="514" t="n">
        <f aca="false">+Positions!AB31</f>
        <v>0.966802599844266</v>
      </c>
      <c r="S64" s="515" t="n">
        <f aca="false">((+Q64*16)*P64)*R64</f>
        <v>30937.6831950165</v>
      </c>
      <c r="V64" s="392"/>
    </row>
    <row r="65" customFormat="false" ht="9" hidden="false" customHeight="false" outlineLevel="0" collapsed="false">
      <c r="B65" s="52" t="s">
        <v>181</v>
      </c>
      <c r="C65" s="530" t="n">
        <v>151</v>
      </c>
      <c r="D65" s="61" t="n">
        <v>10000</v>
      </c>
      <c r="E65" s="61" t="n">
        <v>1488361.92889185</v>
      </c>
      <c r="F65" s="428"/>
      <c r="J65" s="531" t="n">
        <v>3.123</v>
      </c>
      <c r="K65" s="533" t="n">
        <v>2.9834</v>
      </c>
      <c r="L65" s="419" t="n">
        <f aca="false">+K65-J65</f>
        <v>-0.1396</v>
      </c>
      <c r="M65" s="532" t="n">
        <f aca="false">+E65*L65</f>
        <v>-207775.325273301</v>
      </c>
      <c r="O65" s="344" t="s">
        <v>114</v>
      </c>
      <c r="P65" s="62" t="n">
        <v>23</v>
      </c>
      <c r="Q65" s="62" t="n">
        <v>100</v>
      </c>
      <c r="R65" s="514" t="n">
        <f aca="false">+Positions!AB32</f>
        <v>0.96387209633485</v>
      </c>
      <c r="S65" s="515" t="n">
        <f aca="false">((+Q65*16)*P65)*R65</f>
        <v>35470.4931451225</v>
      </c>
    </row>
    <row r="66" customFormat="false" ht="9" hidden="false" customHeight="false" outlineLevel="0" collapsed="false">
      <c r="B66" s="52" t="s">
        <v>125</v>
      </c>
      <c r="C66" s="61" t="n">
        <v>213</v>
      </c>
      <c r="D66" s="61" t="n">
        <v>0</v>
      </c>
      <c r="E66" s="61" t="n">
        <v>0</v>
      </c>
      <c r="F66" s="384"/>
      <c r="J66" s="531" t="n">
        <v>3.20571428571429</v>
      </c>
      <c r="K66" s="533" t="n">
        <v>3.08942857142857</v>
      </c>
      <c r="L66" s="419" t="n">
        <f aca="false">+K66-J66</f>
        <v>-0.116285714285715</v>
      </c>
      <c r="M66" s="532" t="n">
        <f aca="false">+E66*L66</f>
        <v>-0</v>
      </c>
      <c r="O66" s="344" t="s">
        <v>115</v>
      </c>
      <c r="P66" s="62" t="n">
        <v>20</v>
      </c>
      <c r="Q66" s="62" t="n">
        <v>100</v>
      </c>
      <c r="R66" s="514" t="n">
        <f aca="false">+Positions!AB33</f>
        <v>0.960862773350376</v>
      </c>
      <c r="S66" s="515" t="n">
        <f aca="false">((+Q66*16)*P66)*R66</f>
        <v>30747.608747212</v>
      </c>
    </row>
    <row r="67" customFormat="false" ht="9.75" hidden="false" customHeight="false" outlineLevel="0" collapsed="false">
      <c r="B67" s="52" t="s">
        <v>90</v>
      </c>
      <c r="C67" s="530" t="n">
        <v>365</v>
      </c>
      <c r="D67" s="261" t="n">
        <v>15000</v>
      </c>
      <c r="E67" s="61" t="n">
        <v>5326225.0300458</v>
      </c>
      <c r="F67" s="428"/>
      <c r="J67" s="531" t="n">
        <v>3.27425</v>
      </c>
      <c r="K67" s="533" t="n">
        <v>3.15475</v>
      </c>
      <c r="L67" s="419" t="n">
        <f aca="false">+K67-J67</f>
        <v>-0.1195</v>
      </c>
      <c r="M67" s="532" t="n">
        <f aca="false">+E67*L67</f>
        <v>-636483.891090473</v>
      </c>
      <c r="O67" s="360" t="s">
        <v>134</v>
      </c>
      <c r="P67" s="361" t="n">
        <v>21</v>
      </c>
      <c r="Q67" s="361" t="n">
        <v>100</v>
      </c>
      <c r="R67" s="534" t="n">
        <f aca="false">+Positions!AB34</f>
        <v>0.957757451329791</v>
      </c>
      <c r="S67" s="535" t="n">
        <f aca="false">((+Q67*16)*P67)*R67</f>
        <v>32180.650364681</v>
      </c>
    </row>
    <row r="68" customFormat="false" ht="9" hidden="false" customHeight="false" outlineLevel="0" collapsed="false">
      <c r="B68" s="52" t="s">
        <v>92</v>
      </c>
      <c r="C68" s="61" t="n">
        <v>365</v>
      </c>
      <c r="D68" s="61" t="n">
        <v>42500</v>
      </c>
      <c r="E68" s="61" t="n">
        <v>14506559.4212151</v>
      </c>
      <c r="F68" s="384"/>
      <c r="J68" s="531" t="n">
        <v>3.603</v>
      </c>
      <c r="K68" s="533" t="n">
        <v>3.529</v>
      </c>
      <c r="L68" s="419" t="n">
        <f aca="false">+K68-J68</f>
        <v>-0.0740000000000003</v>
      </c>
      <c r="M68" s="532" t="n">
        <f aca="false">+E68*L68</f>
        <v>-1073485.39716992</v>
      </c>
      <c r="P68" s="2"/>
      <c r="Q68" s="2"/>
      <c r="R68" s="2"/>
      <c r="S68" s="2" t="n">
        <f aca="false">SUM(S56:S67)</f>
        <v>345925.174726415</v>
      </c>
    </row>
    <row r="69" customFormat="false" ht="9" hidden="false" customHeight="false" outlineLevel="0" collapsed="false">
      <c r="B69" s="52"/>
      <c r="F69" s="384"/>
      <c r="J69" s="536"/>
      <c r="L69" s="62"/>
      <c r="M69" s="53"/>
      <c r="O69" s="392"/>
      <c r="Q69" s="240"/>
    </row>
    <row r="70" customFormat="false" ht="9" hidden="false" customHeight="false" outlineLevel="0" collapsed="false">
      <c r="B70" s="52"/>
      <c r="C70" s="62"/>
      <c r="D70" s="62"/>
      <c r="E70" s="62"/>
      <c r="F70" s="53"/>
      <c r="J70" s="537"/>
      <c r="K70" s="350"/>
      <c r="L70" s="392"/>
      <c r="M70" s="532"/>
      <c r="O70" s="62"/>
      <c r="Q70" s="240"/>
    </row>
    <row r="71" customFormat="false" ht="9.75" hidden="false" customHeight="false" outlineLevel="0" collapsed="false">
      <c r="B71" s="96" t="s">
        <v>182</v>
      </c>
      <c r="C71" s="361"/>
      <c r="D71" s="361"/>
      <c r="E71" s="362" t="n">
        <f aca="false">SUM(E62:E70)</f>
        <v>21933504.3026494</v>
      </c>
      <c r="F71" s="97"/>
      <c r="J71" s="538"/>
      <c r="K71" s="459"/>
      <c r="L71" s="469"/>
      <c r="M71" s="539" t="n">
        <f aca="false">SUM(M62:M70)</f>
        <v>-2010823.01775319</v>
      </c>
    </row>
    <row r="72" customFormat="false" ht="9" hidden="false" customHeight="false" outlineLevel="0" collapsed="false">
      <c r="J72" s="1"/>
      <c r="K72" s="1"/>
    </row>
    <row r="73" customFormat="false" ht="9" hidden="false" customHeight="false" outlineLevel="0" collapsed="false">
      <c r="B73" s="1" t="n">
        <v>4080</v>
      </c>
      <c r="C73" s="1"/>
      <c r="D73" s="1" t="s">
        <v>183</v>
      </c>
      <c r="E73" s="61" t="n">
        <v>4680</v>
      </c>
      <c r="J73" s="1"/>
      <c r="K73" s="1"/>
    </row>
    <row r="74" customFormat="false" ht="9" hidden="false" customHeight="false" outlineLevel="0" collapsed="false">
      <c r="B74" s="1" t="n">
        <v>8760</v>
      </c>
      <c r="D74" s="2" t="s">
        <v>184</v>
      </c>
      <c r="J74" s="1"/>
      <c r="K74" s="1"/>
    </row>
    <row r="75" customFormat="false" ht="9" hidden="false" customHeight="false" outlineLevel="0" collapsed="false">
      <c r="J75" s="1"/>
      <c r="K75" s="1"/>
    </row>
    <row r="76" customFormat="false" ht="9" hidden="false" customHeight="false" outlineLevel="0" collapsed="false">
      <c r="J76" s="1"/>
      <c r="K76" s="1"/>
    </row>
    <row r="77" customFormat="false" ht="9" hidden="false" customHeight="false" outlineLevel="0" collapsed="false">
      <c r="J77" s="1"/>
      <c r="K77" s="1"/>
    </row>
    <row r="78" customFormat="false" ht="9" hidden="false" customHeight="false" outlineLevel="0" collapsed="false">
      <c r="J78" s="1"/>
      <c r="K78" s="1"/>
    </row>
    <row r="79" customFormat="false" ht="9" hidden="false" customHeight="false" outlineLevel="0" collapsed="false">
      <c r="J79" s="1"/>
      <c r="K79" s="1"/>
    </row>
    <row r="80" customFormat="false" ht="9" hidden="false" customHeight="false" outlineLevel="0" collapsed="false">
      <c r="J80" s="1"/>
      <c r="K80" s="1"/>
    </row>
    <row r="81" customFormat="false" ht="9" hidden="false" customHeight="false" outlineLevel="0" collapsed="false">
      <c r="J81" s="1"/>
      <c r="K81" s="1"/>
    </row>
    <row r="82" customFormat="false" ht="9" hidden="false" customHeight="false" outlineLevel="0" collapsed="false">
      <c r="J82" s="1"/>
      <c r="K82" s="1"/>
    </row>
    <row r="83" customFormat="false" ht="9" hidden="false" customHeight="false" outlineLevel="0" collapsed="false">
      <c r="J83" s="1"/>
      <c r="K83" s="1"/>
    </row>
    <row r="84" customFormat="false" ht="9" hidden="false" customHeight="false" outlineLevel="0" collapsed="false">
      <c r="J84" s="1"/>
      <c r="K84" s="1"/>
    </row>
    <row r="92" customFormat="false" ht="9" hidden="false" customHeight="false" outlineLevel="0" collapsed="false">
      <c r="N92" s="283" t="n">
        <f aca="false">SUM(N67:N91)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J10" activeCellId="0" sqref="J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8.7"/>
    <col collapsed="false" customWidth="true" hidden="false" outlineLevel="0" max="3" min="3" style="0" width="9.85"/>
    <col collapsed="false" customWidth="true" hidden="true" outlineLevel="0" max="4" min="4" style="555" width="2.84"/>
    <col collapsed="false" customWidth="true" hidden="false" outlineLevel="0" max="5" min="5" style="556" width="16.28"/>
    <col collapsed="false" customWidth="true" hidden="false" outlineLevel="0" max="6" min="6" style="0" width="27.42"/>
    <col collapsed="false" customWidth="true" hidden="false" outlineLevel="0" max="7" min="7" style="0" width="3.99"/>
    <col collapsed="false" customWidth="true" hidden="false" outlineLevel="0" max="8" min="8" style="0" width="9.85"/>
    <col collapsed="false" customWidth="true" hidden="false" outlineLevel="0" max="9" min="9" style="0" width="8.14"/>
    <col collapsed="false" customWidth="true" hidden="false" outlineLevel="0" max="10" min="10" style="0" width="22.28"/>
    <col collapsed="false" customWidth="true" hidden="false" outlineLevel="0" max="11" min="11" style="0" width="9.99"/>
    <col collapsed="false" customWidth="true" hidden="false" outlineLevel="0" max="14" min="14" style="0" width="11.42"/>
    <col collapsed="false" customWidth="true" hidden="false" outlineLevel="0" max="15" min="15" style="0" width="8.99"/>
  </cols>
  <sheetData>
    <row r="1" customFormat="false" ht="13.5" hidden="false" customHeight="false" outlineLevel="0" collapsed="false">
      <c r="A1" s="557" t="s">
        <v>193</v>
      </c>
      <c r="B1" s="557" t="s">
        <v>194</v>
      </c>
      <c r="C1" s="557" t="s">
        <v>195</v>
      </c>
      <c r="D1" s="558"/>
      <c r="E1" s="559" t="s">
        <v>196</v>
      </c>
      <c r="F1" s="560" t="s">
        <v>197</v>
      </c>
      <c r="G1" s="561" t="n">
        <v>37</v>
      </c>
      <c r="H1" s="562" t="s">
        <v>198</v>
      </c>
      <c r="I1" s="562"/>
      <c r="J1" s="563" t="s">
        <v>199</v>
      </c>
      <c r="L1" s="564" t="s">
        <v>200</v>
      </c>
      <c r="M1" s="564" t="s">
        <v>201</v>
      </c>
      <c r="N1" s="564" t="s">
        <v>202</v>
      </c>
      <c r="O1" s="564" t="s">
        <v>203</v>
      </c>
    </row>
    <row r="2" customFormat="false" ht="13.5" hidden="false" customHeight="false" outlineLevel="0" collapsed="false">
      <c r="A2" s="0" t="n">
        <v>49615</v>
      </c>
      <c r="B2" s="565" t="n">
        <v>1.83</v>
      </c>
      <c r="C2" s="565" t="n">
        <v>1.835</v>
      </c>
      <c r="E2" s="566" t="n">
        <v>37160.5950462963</v>
      </c>
      <c r="F2" s="567" t="s">
        <v>204</v>
      </c>
      <c r="H2" s="568" t="n">
        <f aca="false">AVERAGE(B2:C2)</f>
        <v>1.8325</v>
      </c>
      <c r="J2" s="569" t="s">
        <v>205</v>
      </c>
      <c r="K2" s="570" t="n">
        <f aca="false">+(C3+B3)/(C16+B16)*1000</f>
        <v>136.889460154242</v>
      </c>
      <c r="L2" s="0" t="n">
        <v>9731</v>
      </c>
      <c r="M2" s="0" t="n">
        <v>9731</v>
      </c>
      <c r="N2" s="0" t="n">
        <v>5</v>
      </c>
      <c r="O2" s="0" t="n">
        <v>6</v>
      </c>
    </row>
    <row r="3" customFormat="false" ht="13.5" hidden="false" customHeight="false" outlineLevel="0" collapsed="false">
      <c r="A3" s="0" t="n">
        <v>49617</v>
      </c>
      <c r="B3" s="571" t="n">
        <v>2.66</v>
      </c>
      <c r="C3" s="571" t="n">
        <v>2.665</v>
      </c>
      <c r="E3" s="566" t="n">
        <v>37187.6333217593</v>
      </c>
      <c r="F3" s="567" t="s">
        <v>206</v>
      </c>
      <c r="H3" s="568" t="n">
        <f aca="false">AVERAGE(B3:C3)</f>
        <v>2.6625</v>
      </c>
      <c r="J3" s="569" t="s">
        <v>207</v>
      </c>
      <c r="K3" s="570" t="e">
        <f aca="false">+(#REF!+#REF!)/(C12+B12)*1000</f>
        <v>#REF!</v>
      </c>
      <c r="L3" s="0" t="n">
        <v>8739</v>
      </c>
      <c r="M3" s="0" t="n">
        <v>8739</v>
      </c>
      <c r="N3" s="0" t="n">
        <v>3</v>
      </c>
      <c r="O3" s="0" t="n">
        <v>6</v>
      </c>
    </row>
    <row r="4" customFormat="false" ht="13.5" hidden="false" customHeight="false" outlineLevel="0" collapsed="false">
      <c r="A4" s="0" t="n">
        <v>58074</v>
      </c>
      <c r="B4" s="571" t="n">
        <v>2.89</v>
      </c>
      <c r="C4" s="571" t="n">
        <v>2.9025</v>
      </c>
      <c r="E4" s="566" t="n">
        <v>37187.6026273148</v>
      </c>
      <c r="F4" s="567" t="s">
        <v>208</v>
      </c>
      <c r="H4" s="568" t="n">
        <f aca="false">AVERAGE(B4:C4)</f>
        <v>2.89625</v>
      </c>
      <c r="J4" s="569" t="s">
        <v>209</v>
      </c>
      <c r="K4" s="570" t="n">
        <f aca="false">+(C8+B8)/(C4+B4)*1000</f>
        <v>1078.98144151921</v>
      </c>
      <c r="L4" s="0" t="n">
        <v>9134</v>
      </c>
      <c r="M4" s="0" t="n">
        <v>9354</v>
      </c>
      <c r="N4" s="0" t="n">
        <v>2</v>
      </c>
      <c r="O4" s="0" t="n">
        <v>4</v>
      </c>
    </row>
    <row r="5" customFormat="false" ht="13.5" hidden="false" customHeight="false" outlineLevel="0" collapsed="false">
      <c r="A5" s="0" t="n">
        <v>58076</v>
      </c>
      <c r="B5" s="0" t="n">
        <v>3.065</v>
      </c>
      <c r="C5" s="572" t="n">
        <v>3.08</v>
      </c>
      <c r="E5" s="556" t="n">
        <v>37187.6026273148</v>
      </c>
      <c r="F5" s="188" t="s">
        <v>210</v>
      </c>
      <c r="H5" s="568" t="n">
        <f aca="false">AVERAGE(B5:C5)</f>
        <v>3.0725</v>
      </c>
      <c r="J5" s="573" t="s">
        <v>211</v>
      </c>
      <c r="K5" s="570" t="e">
        <f aca="false">+(#REF!+#REF!)/(C4+B4)*1000</f>
        <v>#REF!</v>
      </c>
      <c r="L5" s="0" t="n">
        <v>8739</v>
      </c>
      <c r="M5" s="0" t="n">
        <v>8739</v>
      </c>
    </row>
    <row r="6" customFormat="false" ht="13.5" hidden="false" customHeight="false" outlineLevel="0" collapsed="false">
      <c r="A6" s="0" t="n">
        <v>35353</v>
      </c>
      <c r="B6" s="0" t="n">
        <v>2.945</v>
      </c>
      <c r="C6" s="572" t="n">
        <v>2.955</v>
      </c>
      <c r="E6" s="556" t="n">
        <v>37187.6020486111</v>
      </c>
      <c r="F6" s="188" t="s">
        <v>212</v>
      </c>
      <c r="H6" s="568" t="n">
        <f aca="false">AVERAGE(B6:C6)</f>
        <v>2.95</v>
      </c>
      <c r="J6" s="574" t="s">
        <v>213</v>
      </c>
      <c r="K6" s="570" t="e">
        <f aca="false">+(C2+B2)/(C12+B12)*1000</f>
        <v>#DIV/0!</v>
      </c>
      <c r="L6" s="0" t="n">
        <v>8739</v>
      </c>
      <c r="M6" s="0" t="n">
        <v>8739</v>
      </c>
    </row>
    <row r="7" customFormat="false" ht="13.5" hidden="false" customHeight="false" outlineLevel="0" collapsed="false">
      <c r="A7" s="0" t="n">
        <v>54674</v>
      </c>
      <c r="B7" s="0" t="n">
        <v>3.055</v>
      </c>
      <c r="C7" s="572" t="n">
        <v>3.065</v>
      </c>
      <c r="E7" s="556" t="n">
        <v>37187.6035069445</v>
      </c>
      <c r="F7" s="188" t="s">
        <v>214</v>
      </c>
      <c r="H7" s="568" t="n">
        <f aca="false">AVERAGE(B7:C7)</f>
        <v>3.06</v>
      </c>
      <c r="J7" s="575" t="n">
        <v>37043</v>
      </c>
      <c r="K7" s="570" t="n">
        <f aca="false">+(C2+B2)/(C4+B4)*1000</f>
        <v>632.714717306862</v>
      </c>
    </row>
    <row r="8" customFormat="false" ht="12.75" hidden="false" customHeight="false" outlineLevel="0" collapsed="false">
      <c r="A8" s="0" t="n">
        <v>48724</v>
      </c>
      <c r="B8" s="571" t="n">
        <v>3.12</v>
      </c>
      <c r="C8" s="571" t="n">
        <v>3.13</v>
      </c>
      <c r="E8" s="566" t="n">
        <v>37187.6034722222</v>
      </c>
      <c r="F8" s="567" t="s">
        <v>215</v>
      </c>
      <c r="H8" s="568" t="n">
        <f aca="false">AVERAGE(B8:C8)</f>
        <v>3.125</v>
      </c>
    </row>
    <row r="9" customFormat="false" ht="12.75" hidden="false" customHeight="false" outlineLevel="0" collapsed="false">
      <c r="A9" s="0" t="n">
        <v>51173</v>
      </c>
      <c r="B9" s="571" t="n">
        <v>3.495</v>
      </c>
      <c r="C9" s="571" t="n">
        <v>3.51</v>
      </c>
      <c r="E9" s="566" t="n">
        <v>37187.6035416667</v>
      </c>
      <c r="F9" s="567" t="s">
        <v>216</v>
      </c>
      <c r="H9" s="568" t="n">
        <f aca="false">AVERAGE(B9:C9)</f>
        <v>3.5025</v>
      </c>
    </row>
    <row r="10" customFormat="false" ht="12.75" hidden="false" customHeight="false" outlineLevel="0" collapsed="false">
      <c r="B10" s="571"/>
      <c r="C10" s="571"/>
      <c r="E10" s="566"/>
      <c r="F10" s="567"/>
      <c r="H10" s="568"/>
    </row>
    <row r="11" customFormat="false" ht="12.75" hidden="false" customHeight="false" outlineLevel="0" collapsed="false">
      <c r="B11" s="571"/>
      <c r="C11" s="571"/>
      <c r="E11" s="566"/>
      <c r="F11" s="567"/>
      <c r="H11" s="568"/>
    </row>
    <row r="12" customFormat="false" ht="12.75" hidden="false" customHeight="false" outlineLevel="0" collapsed="false">
      <c r="B12" s="565"/>
      <c r="C12" s="565"/>
      <c r="E12" s="566"/>
      <c r="F12" s="567"/>
      <c r="H12" s="568"/>
    </row>
    <row r="13" customFormat="false" ht="12.75" hidden="false" customHeight="false" outlineLevel="0" collapsed="false">
      <c r="A13" s="0" t="n">
        <v>61735</v>
      </c>
      <c r="B13" s="0" t="n">
        <v>22.65</v>
      </c>
      <c r="C13" s="0" t="n">
        <v>23.65</v>
      </c>
      <c r="E13" s="556" t="n">
        <v>37187.5873958333</v>
      </c>
      <c r="F13" s="0" t="s">
        <v>217</v>
      </c>
      <c r="H13" s="568" t="n">
        <f aca="false">AVERAGE(B13:C13)</f>
        <v>23.15</v>
      </c>
    </row>
    <row r="14" customFormat="false" ht="12.75" hidden="false" customHeight="false" outlineLevel="0" collapsed="false">
      <c r="A14" s="0" t="n">
        <v>61731</v>
      </c>
      <c r="B14" s="0" t="n">
        <v>22.05</v>
      </c>
      <c r="C14" s="0" t="n">
        <v>23.05</v>
      </c>
      <c r="E14" s="556" t="n">
        <v>37187.5873842593</v>
      </c>
      <c r="F14" s="0" t="s">
        <v>218</v>
      </c>
      <c r="H14" s="568" t="n">
        <f aca="false">AVERAGE(B14:C14)</f>
        <v>22.55</v>
      </c>
    </row>
    <row r="15" customFormat="false" ht="12.75" hidden="false" customHeight="false" outlineLevel="0" collapsed="false">
      <c r="A15" s="0" t="n">
        <v>56305</v>
      </c>
      <c r="B15" s="0" t="n">
        <v>21.55</v>
      </c>
      <c r="C15" s="0" t="n">
        <v>22.55</v>
      </c>
      <c r="E15" s="556" t="n">
        <v>37187.5873726852</v>
      </c>
      <c r="F15" s="0" t="s">
        <v>219</v>
      </c>
      <c r="H15" s="568" t="n">
        <f aca="false">AVERAGE(B15:C15)</f>
        <v>22.05</v>
      </c>
    </row>
    <row r="16" customFormat="false" ht="12.75" hidden="false" customHeight="false" outlineLevel="0" collapsed="false">
      <c r="A16" s="0" t="n">
        <v>56303</v>
      </c>
      <c r="B16" s="565" t="n">
        <v>19.1</v>
      </c>
      <c r="C16" s="565" t="n">
        <v>19.8</v>
      </c>
      <c r="E16" s="566" t="n">
        <v>37187.5111689815</v>
      </c>
      <c r="F16" s="576" t="s">
        <v>220</v>
      </c>
      <c r="H16" s="568" t="n">
        <f aca="false">AVERAGE(B16:C16)</f>
        <v>19.45</v>
      </c>
    </row>
    <row r="17" customFormat="false" ht="12.75" hidden="false" customHeight="false" outlineLevel="0" collapsed="false">
      <c r="A17" s="0" t="n">
        <v>56289</v>
      </c>
      <c r="B17" s="577"/>
      <c r="C17" s="577"/>
      <c r="E17" s="566" t="n">
        <v>37161.6395138889</v>
      </c>
      <c r="F17" s="576" t="s">
        <v>221</v>
      </c>
      <c r="H17" s="568" t="e">
        <f aca="false">AVERAGE(B17:C17)</f>
        <v>#DIV/0!</v>
      </c>
    </row>
    <row r="18" customFormat="false" ht="12.75" hidden="false" customHeight="false" outlineLevel="0" collapsed="false">
      <c r="A18" s="0" t="n">
        <v>56351</v>
      </c>
      <c r="B18" s="577" t="n">
        <v>22.25</v>
      </c>
      <c r="C18" s="577" t="n">
        <v>22.75</v>
      </c>
      <c r="E18" s="566" t="n">
        <v>37187.5620601852</v>
      </c>
      <c r="F18" s="576" t="s">
        <v>222</v>
      </c>
      <c r="H18" s="568" t="n">
        <f aca="false">AVERAGE(B18:C18)</f>
        <v>22.5</v>
      </c>
    </row>
    <row r="19" customFormat="false" ht="12.75" hidden="false" customHeight="false" outlineLevel="0" collapsed="false">
      <c r="A19" s="0" t="n">
        <v>56327</v>
      </c>
      <c r="B19" s="577" t="n">
        <v>24.25</v>
      </c>
      <c r="C19" s="577" t="n">
        <v>24.45</v>
      </c>
      <c r="E19" s="566" t="n">
        <v>37187.5874074074</v>
      </c>
      <c r="F19" s="576" t="s">
        <v>223</v>
      </c>
      <c r="H19" s="568" t="n">
        <f aca="false">AVERAGE(B19:C19)</f>
        <v>24.35</v>
      </c>
    </row>
    <row r="20" customFormat="false" ht="12.75" hidden="false" customHeight="false" outlineLevel="0" collapsed="false">
      <c r="A20" s="0" t="n">
        <v>56337</v>
      </c>
      <c r="B20" s="577" t="n">
        <v>25.65</v>
      </c>
      <c r="C20" s="577" t="n">
        <v>25.95</v>
      </c>
      <c r="E20" s="556" t="n">
        <v>37187.5874305556</v>
      </c>
      <c r="F20" s="576" t="s">
        <v>224</v>
      </c>
      <c r="H20" s="568" t="n">
        <f aca="false">AVERAGE(B20:C20)</f>
        <v>25.8</v>
      </c>
    </row>
    <row r="21" customFormat="false" ht="12.75" hidden="false" customHeight="false" outlineLevel="0" collapsed="false">
      <c r="A21" s="0" t="n">
        <v>56345</v>
      </c>
      <c r="B21" s="577" t="n">
        <v>25.05</v>
      </c>
      <c r="C21" s="577" t="n">
        <v>25.55</v>
      </c>
      <c r="E21" s="556" t="n">
        <v>37187.5874537037</v>
      </c>
      <c r="F21" s="576" t="s">
        <v>225</v>
      </c>
      <c r="H21" s="568" t="n">
        <f aca="false">AVERAGE(B21:C21)</f>
        <v>25.3</v>
      </c>
    </row>
    <row r="22" customFormat="false" ht="12.75" hidden="false" customHeight="false" outlineLevel="0" collapsed="false">
      <c r="A22" s="0" t="n">
        <v>56347</v>
      </c>
      <c r="B22" s="577" t="n">
        <v>27.3</v>
      </c>
      <c r="C22" s="577" t="n">
        <v>27.8</v>
      </c>
      <c r="E22" s="556" t="n">
        <v>37187.5874652778</v>
      </c>
      <c r="F22" s="576" t="s">
        <v>226</v>
      </c>
      <c r="H22" s="568" t="n">
        <f aca="false">AVERAGE(B22:C22)</f>
        <v>27.55</v>
      </c>
    </row>
    <row r="23" customFormat="false" ht="12.75" hidden="false" customHeight="false" outlineLevel="0" collapsed="false">
      <c r="A23" s="0" t="n">
        <v>56343</v>
      </c>
      <c r="B23" s="577" t="n">
        <v>30.7</v>
      </c>
      <c r="C23" s="577" t="n">
        <v>31.2</v>
      </c>
      <c r="E23" s="556" t="n">
        <v>37187.5874768519</v>
      </c>
      <c r="F23" s="576" t="s">
        <v>227</v>
      </c>
      <c r="H23" s="568" t="n">
        <f aca="false">AVERAGE(B23:C23)</f>
        <v>30.95</v>
      </c>
    </row>
    <row r="24" customFormat="false" ht="12.75" hidden="false" customHeight="false" outlineLevel="0" collapsed="false">
      <c r="A24" s="0" t="n">
        <v>56339</v>
      </c>
      <c r="B24" s="577" t="n">
        <v>39.45</v>
      </c>
      <c r="C24" s="577" t="n">
        <v>39.95</v>
      </c>
      <c r="E24" s="556" t="n">
        <v>37187.5874884259</v>
      </c>
      <c r="F24" s="576" t="s">
        <v>228</v>
      </c>
      <c r="H24" s="568" t="n">
        <f aca="false">AVERAGE(B24:C24)</f>
        <v>39.7</v>
      </c>
    </row>
    <row r="25" customFormat="false" ht="12.75" hidden="false" customHeight="false" outlineLevel="0" collapsed="false">
      <c r="A25" s="0" t="n">
        <v>56355</v>
      </c>
      <c r="B25" s="577" t="n">
        <v>27.85</v>
      </c>
      <c r="C25" s="577" t="n">
        <v>28.35</v>
      </c>
      <c r="E25" s="556" t="n">
        <v>37187.5875</v>
      </c>
      <c r="F25" s="576" t="s">
        <v>229</v>
      </c>
      <c r="H25" s="568" t="n">
        <f aca="false">AVERAGE(B25:C25)</f>
        <v>28.1</v>
      </c>
    </row>
    <row r="26" customFormat="false" ht="12.75" hidden="false" customHeight="false" outlineLevel="0" collapsed="false">
      <c r="A26" s="0" t="n">
        <v>56353</v>
      </c>
      <c r="B26" s="577" t="n">
        <v>26.95</v>
      </c>
      <c r="C26" s="577" t="n">
        <v>27.3</v>
      </c>
      <c r="E26" s="556" t="n">
        <v>37187.6020833333</v>
      </c>
      <c r="F26" s="576" t="s">
        <v>230</v>
      </c>
      <c r="H26" s="568" t="n">
        <f aca="false">AVERAGE(B26:C26)</f>
        <v>27.125</v>
      </c>
    </row>
    <row r="27" customFormat="false" ht="12.75" hidden="false" customHeight="false" outlineLevel="0" collapsed="false">
      <c r="A27" s="0" t="n">
        <v>56333</v>
      </c>
      <c r="B27" s="577" t="n">
        <v>28.95</v>
      </c>
      <c r="C27" s="577" t="n">
        <v>29.45</v>
      </c>
      <c r="E27" s="556" t="n">
        <v>37187.5996180556</v>
      </c>
      <c r="F27" s="576" t="s">
        <v>231</v>
      </c>
      <c r="H27" s="568" t="n">
        <f aca="false">AVERAGE(B27:C27)</f>
        <v>29.2</v>
      </c>
    </row>
    <row r="28" customFormat="false" ht="12.75" hidden="false" customHeight="false" outlineLevel="0" collapsed="false">
      <c r="A28" s="0" t="n">
        <v>56335</v>
      </c>
      <c r="B28" s="577" t="n">
        <v>32.25</v>
      </c>
      <c r="C28" s="577" t="n">
        <v>33</v>
      </c>
      <c r="E28" s="556" t="n">
        <v>37187.5875347222</v>
      </c>
      <c r="F28" s="576" t="s">
        <v>232</v>
      </c>
      <c r="H28" s="568" t="n">
        <f aca="false">AVERAGE(B28:C28)</f>
        <v>32.625</v>
      </c>
    </row>
    <row r="29" customFormat="false" ht="12.75" hidden="false" customHeight="false" outlineLevel="0" collapsed="false">
      <c r="A29" s="0" t="n">
        <v>58992</v>
      </c>
      <c r="B29" s="577" t="n">
        <v>33.3</v>
      </c>
      <c r="C29" s="577" t="n">
        <v>34.3</v>
      </c>
      <c r="E29" s="556" t="n">
        <v>37187.5876273148</v>
      </c>
      <c r="F29" s="576" t="s">
        <v>233</v>
      </c>
      <c r="H29" s="568" t="n">
        <f aca="false">AVERAGE(B29:C29)</f>
        <v>33.8</v>
      </c>
    </row>
    <row r="30" customFormat="false" ht="12.75" hidden="false" customHeight="false" outlineLevel="0" collapsed="false">
      <c r="A30" s="0" t="n">
        <v>58994</v>
      </c>
      <c r="B30" s="0" t="n">
        <v>34.25</v>
      </c>
      <c r="C30" s="0" t="n">
        <v>35.25</v>
      </c>
      <c r="E30" s="556" t="n">
        <v>37187.5847222222</v>
      </c>
      <c r="F30" s="576" t="s">
        <v>234</v>
      </c>
      <c r="H30" s="568" t="n">
        <f aca="false">AVERAGE(B30:C30)</f>
        <v>34.75</v>
      </c>
    </row>
    <row r="31" customFormat="false" ht="12.75" hidden="false" customHeight="false" outlineLevel="0" collapsed="false">
      <c r="A31" s="0" t="n">
        <v>62221</v>
      </c>
      <c r="B31" s="0" t="n">
        <v>29.85</v>
      </c>
      <c r="C31" s="0" t="n">
        <v>30.35</v>
      </c>
      <c r="E31" s="556" t="n">
        <v>37187.5875231482</v>
      </c>
      <c r="F31" s="576" t="s">
        <v>235</v>
      </c>
      <c r="H31" s="568" t="n">
        <f aca="false">AVERAGE(B31:C31)</f>
        <v>30.1</v>
      </c>
    </row>
    <row r="32" customFormat="false" ht="12.75" hidden="false" customHeight="false" outlineLevel="0" collapsed="false">
      <c r="A32" s="0" t="n">
        <v>62223</v>
      </c>
      <c r="B32" s="0" t="n">
        <v>28.65</v>
      </c>
      <c r="C32" s="0" t="n">
        <v>29.15</v>
      </c>
      <c r="E32" s="556" t="n">
        <v>37187.5875462963</v>
      </c>
      <c r="F32" s="576" t="s">
        <v>236</v>
      </c>
      <c r="H32" s="568" t="n">
        <f aca="false">AVERAGE(B32:C32)</f>
        <v>28.9</v>
      </c>
    </row>
    <row r="33" customFormat="false" ht="12.75" hidden="false" customHeight="false" outlineLevel="0" collapsed="false">
      <c r="A33" s="0" t="n">
        <v>62225</v>
      </c>
      <c r="B33" s="0" t="n">
        <v>30.9</v>
      </c>
      <c r="C33" s="0" t="n">
        <v>31.4</v>
      </c>
      <c r="E33" s="556" t="n">
        <v>37187.5875578704</v>
      </c>
      <c r="F33" s="576" t="s">
        <v>237</v>
      </c>
      <c r="H33" s="568" t="n">
        <f aca="false">AVERAGE(B33:C33)</f>
        <v>31.15</v>
      </c>
    </row>
    <row r="34" customFormat="false" ht="12.75" hidden="false" customHeight="false" outlineLevel="0" collapsed="false">
      <c r="A34" s="0" t="n">
        <v>62227</v>
      </c>
      <c r="B34" s="0" t="n">
        <v>34.6</v>
      </c>
      <c r="C34" s="0" t="n">
        <v>35.1</v>
      </c>
      <c r="E34" s="556" t="n">
        <v>37187.5875694445</v>
      </c>
      <c r="F34" s="576" t="s">
        <v>238</v>
      </c>
      <c r="H34" s="568" t="n">
        <f aca="false">AVERAGE(B34:C34)</f>
        <v>34.85</v>
      </c>
    </row>
    <row r="35" customFormat="false" ht="12.75" hidden="false" customHeight="false" outlineLevel="0" collapsed="false">
      <c r="A35" s="0" t="n">
        <v>56341</v>
      </c>
      <c r="B35" s="0" t="n">
        <v>43.3</v>
      </c>
      <c r="C35" s="0" t="n">
        <v>43.8</v>
      </c>
      <c r="E35" s="556" t="n">
        <v>37187.5875810185</v>
      </c>
      <c r="F35" s="576" t="s">
        <v>239</v>
      </c>
      <c r="H35" s="568" t="n">
        <f aca="false">AVERAGE(B35:C35)</f>
        <v>43.55</v>
      </c>
    </row>
    <row r="36" customFormat="false" ht="12.75" hidden="false" customHeight="false" outlineLevel="0" collapsed="false">
      <c r="A36" s="0" t="n">
        <v>62229</v>
      </c>
      <c r="B36" s="0" t="n">
        <v>31</v>
      </c>
      <c r="C36" s="0" t="n">
        <v>31.5</v>
      </c>
      <c r="E36" s="556" t="n">
        <v>37187.5876041667</v>
      </c>
      <c r="F36" s="576" t="s">
        <v>240</v>
      </c>
      <c r="H36" s="568" t="n">
        <f aca="false">AVERAGE(B36:C36)</f>
        <v>31.25</v>
      </c>
    </row>
    <row r="37" customFormat="false" ht="12.75" hidden="false" customHeight="false" outlineLevel="0" collapsed="false">
      <c r="A37" s="0" t="n">
        <v>62231</v>
      </c>
      <c r="B37" s="0" t="n">
        <v>29.3</v>
      </c>
      <c r="C37" s="0" t="n">
        <v>29.8</v>
      </c>
      <c r="E37" s="556" t="n">
        <v>37187.5846990741</v>
      </c>
      <c r="F37" s="576" t="s">
        <v>241</v>
      </c>
      <c r="H37" s="568" t="n">
        <f aca="false">AVERAGE(B37:C37)</f>
        <v>29.55</v>
      </c>
    </row>
  </sheetData>
  <conditionalFormatting sqref="B2:C4 B16:C16 B8:C12">
    <cfRule type="cellIs" priority="2" operator="lessThan" aboveAverage="0" equalAverage="0" bottom="0" percent="0" rank="0" text="" dxfId="0">
      <formula>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2000-07-14T17:31:01Z</dcterms:created>
  <dc:creator>mcarson2</dc:creator>
  <dc:description/>
  <dc:language>en-US</dc:language>
  <cp:lastModifiedBy>jking6</cp:lastModifiedBy>
  <cp:lastPrinted>2001-10-18T16:55:40Z</cp:lastPrinted>
  <dcterms:modified xsi:type="dcterms:W3CDTF">2001-10-23T17:43:06Z</dcterms:modified>
  <cp:revision>0</cp:revision>
  <dc:subject/>
  <dc:title/>
</cp:coreProperties>
</file>