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12.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xl/worksheets/sheet8.xml" ContentType="application/vnd.openxmlformats-officedocument.spreadsheetml.worksheet+xml"/>
  <Override PartName="/xl/worksheets/sheet14.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ummary Sheet" sheetId="1" state="visible" r:id="rId3"/>
    <sheet name="No. of Req. Sheets" sheetId="2" state="visible" r:id="rId4"/>
    <sheet name="Beginning of Year Input" sheetId="3" state="visible" r:id="rId5"/>
    <sheet name="Monthly Input" sheetId="4" state="visible" r:id="rId6"/>
    <sheet name="1st Cargo Input" sheetId="5" state="visible" r:id="rId7"/>
    <sheet name="End of Year Input" sheetId="6" state="visible" r:id="rId8"/>
    <sheet name="Estimated Monthly Demand Charge" sheetId="7" state="visible" r:id="rId9"/>
    <sheet name="Adjustment Factor" sheetId="8" state="visible" r:id="rId10"/>
    <sheet name="Commodity Charge" sheetId="9" state="visible" r:id="rId11"/>
    <sheet name="Propane Index" sheetId="10" state="visible" r:id="rId12"/>
    <sheet name="Demurrage" sheetId="11" state="visible" r:id="rId13"/>
    <sheet name="Annual Demand Charge Rec" sheetId="12" state="visible" r:id="rId14"/>
    <sheet name="Annual Adjustment" sheetId="13" state="visible" r:id="rId15"/>
    <sheet name="When to  Order" sheetId="14" state="visible" r:id="rId16"/>
  </sheets>
  <definedNames>
    <definedName function="false" hidden="false" localSheetId="4" name="_xlnm.Print_Area" vbProcedure="false">'1st Cargo Input'!$A$1:$J$124</definedName>
    <definedName function="false" hidden="false" localSheetId="7" name="_xlnm.Print_Area" vbProcedure="false">'Adjustment Factor'!$A$1:$N$23</definedName>
    <definedName function="false" hidden="false" localSheetId="12" name="_xlnm.Print_Area" vbProcedure="false">'Annual Adjustment'!$A$1:$L$50</definedName>
    <definedName function="false" hidden="false" localSheetId="11" name="_xlnm.Print_Area" vbProcedure="false">'Annual Demand Charge Rec'!$A$1:$L$44</definedName>
    <definedName function="false" hidden="false" localSheetId="2" name="_xlnm.Print_Area" vbProcedure="false">'Beginning of Year Input'!$A$1:$G$78</definedName>
    <definedName function="false" hidden="false" localSheetId="8" name="_xlnm.Print_Area" vbProcedure="false">'Commodity Charge'!$A$1:$M$32</definedName>
    <definedName function="false" hidden="false" localSheetId="10" name="_xlnm.Print_Area" vbProcedure="false">Demurrage!$A$1:$I$23</definedName>
    <definedName function="false" hidden="false" localSheetId="5" name="_xlnm.Print_Area" vbProcedure="false">'End of Year Input'!$A$1:$G$49</definedName>
    <definedName function="false" hidden="false" localSheetId="6" name="_xlnm.Print_Area" vbProcedure="false">'Estimated Monthly Demand Charge'!$A$2:$L$24</definedName>
    <definedName function="false" hidden="false" localSheetId="9" name="_xlnm.Print_Area" vbProcedure="false">'Propane Index'!$A$3:$I$30</definedName>
    <definedName function="false" hidden="false" localSheetId="0" name="_xlnm.Print_Area" vbProcedure="false">'Summary Sheet'!$A$1:$I$47</definedName>
  </definedNames>
  <calcPr iterateCount="100"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<sst xmlns="http://schemas.openxmlformats.org/spreadsheetml/2006/main" count="724" uniqueCount="292">
  <si>
    <t xml:space="preserve">EcoElectrica, LP</t>
  </si>
  <si>
    <t xml:space="preserve">LNG Sales Contract</t>
  </si>
  <si>
    <t xml:space="preserve">Article 8 - Price</t>
  </si>
  <si>
    <t xml:space="preserve">Summary Sheet</t>
  </si>
  <si>
    <t xml:space="preserve">6.4 (b) Port Charges that Exceed $40,000</t>
  </si>
  <si>
    <t xml:space="preserve">6.4 (e) Less Costs or Loss  incurred, attributable to Seller</t>
  </si>
  <si>
    <t xml:space="preserve">6.8 Demurrage</t>
  </si>
  <si>
    <t xml:space="preserve">6.9 Compensation for Excess Boil-Off</t>
  </si>
  <si>
    <t xml:space="preserve">8.1 Estimated Monthly Demand Charge</t>
  </si>
  <si>
    <t xml:space="preserve">8.1(a)(i) Demand Charge</t>
  </si>
  <si>
    <t xml:space="preserve">8.1(a)(i) Demand Surcharge</t>
  </si>
  <si>
    <t xml:space="preserve">Total Demand Charge</t>
  </si>
  <si>
    <t xml:space="preserve">8.3 Commodity Charge</t>
  </si>
  <si>
    <t xml:space="preserve">8.3(a)&amp;(b) Commodity Charge &amp; Surcharge</t>
  </si>
  <si>
    <t xml:space="preserve">Total Demand and Commodity Charges</t>
  </si>
  <si>
    <t xml:space="preserve">8.2 (b) Annual Adjustments </t>
  </si>
  <si>
    <t xml:space="preserve">Amount due Cabot LNG Corporation</t>
  </si>
  <si>
    <t xml:space="preserve">Beginning of Year Input</t>
  </si>
  <si>
    <t xml:space="preserve">*</t>
  </si>
  <si>
    <t xml:space="preserve">1st Cargo (This Cargo)</t>
  </si>
  <si>
    <t xml:space="preserve">End of Year Input</t>
  </si>
  <si>
    <t xml:space="preserve">Estimanted Monthly Demand Charge</t>
  </si>
  <si>
    <t xml:space="preserve">Adjustment Factor</t>
  </si>
  <si>
    <t xml:space="preserve">Commodity Charge</t>
  </si>
  <si>
    <t xml:space="preserve">Propane Index</t>
  </si>
  <si>
    <t xml:space="preserve">Demurrage</t>
  </si>
  <si>
    <t xml:space="preserve">Annual Demand Charge Reconciliation</t>
  </si>
  <si>
    <t xml:space="preserve">Annual Adjustments</t>
  </si>
  <si>
    <t xml:space="preserve">No. of req. sheets</t>
  </si>
  <si>
    <t xml:space="preserve">* = </t>
  </si>
  <si>
    <t xml:space="preserve">Sheets that will have to be repeated for months or cargoes</t>
  </si>
  <si>
    <t xml:space="preserve">5.2 Annual Contract Quantities </t>
  </si>
  <si>
    <t xml:space="preserve">Enter the number of MATHEW Standard Cargoes</t>
  </si>
  <si>
    <t xml:space="preserve">Data input=</t>
  </si>
  <si>
    <t xml:space="preserve">(Refer to Sect. 5.2(b) 9 cargos)</t>
  </si>
  <si>
    <t xml:space="preserve">Enter in cubic meters the MATHEW Standard Cargo</t>
  </si>
  <si>
    <t xml:space="preserve">8.1 (a) Number of months in Contract Year</t>
  </si>
  <si>
    <t xml:space="preserve">Enter the number of months in Contract Year </t>
  </si>
  <si>
    <t xml:space="preserve">8.1 (a) Estimated Monthly Demand Charges, the "Adjustment Factor"</t>
  </si>
  <si>
    <r>
      <rPr>
        <sz val="9"/>
        <rFont val="Arial"/>
        <family val="2"/>
      </rPr>
      <t xml:space="preserve">Enter the 12 monthly values of PR-CPI</t>
    </r>
    <r>
      <rPr>
        <sz val="8"/>
        <rFont val="Arial"/>
        <family val="2"/>
      </rPr>
      <t xml:space="preserve">n</t>
    </r>
    <r>
      <rPr>
        <sz val="9"/>
        <rFont val="Arial"/>
        <family val="2"/>
      </rPr>
      <t xml:space="preserve"> for the prior Contract Year, then average them:</t>
    </r>
  </si>
  <si>
    <t xml:space="preserve">PR-CPIn</t>
  </si>
  <si>
    <t xml:space="preserve">January</t>
  </si>
  <si>
    <t xml:space="preserve">February</t>
  </si>
  <si>
    <t xml:space="preserve">March</t>
  </si>
  <si>
    <t xml:space="preserve">April</t>
  </si>
  <si>
    <t xml:space="preserve">May</t>
  </si>
  <si>
    <t xml:space="preserve">June</t>
  </si>
  <si>
    <t xml:space="preserve">July</t>
  </si>
  <si>
    <t xml:space="preserve">August</t>
  </si>
  <si>
    <t xml:space="preserve">September</t>
  </si>
  <si>
    <t xml:space="preserve">October</t>
  </si>
  <si>
    <t xml:space="preserve">November</t>
  </si>
  <si>
    <t xml:space="preserve">December</t>
  </si>
  <si>
    <t xml:space="preserve">Total</t>
  </si>
  <si>
    <t xml:space="preserve">divided by 12 mths</t>
  </si>
  <si>
    <t xml:space="preserve">Average PR CPI</t>
  </si>
  <si>
    <t xml:space="preserve">Computed:</t>
  </si>
  <si>
    <t xml:space="preserve">8.3 (a) (i) Commodity Charge</t>
  </si>
  <si>
    <t xml:space="preserve">Enter the average of the 36 closing prices for the NYMEX NG futures contracts (Henry Hub) for each month of the prior Contract Year, taking the closing prices for the last three trading days for each of the 12 such contracts</t>
  </si>
  <si>
    <t xml:space="preserve">Item No.</t>
  </si>
  <si>
    <t xml:space="preserve">Date</t>
  </si>
  <si>
    <t xml:space="preserve">Closing Price</t>
  </si>
  <si>
    <t xml:space="preserve">Average for the Last Three Trading Days</t>
  </si>
  <si>
    <t xml:space="preserve">Data Input =</t>
  </si>
  <si>
    <t xml:space="preserve">(Divided by 36)</t>
  </si>
  <si>
    <t xml:space="preserve">8.1 (b) Excused from Payment of Estimated Monthly Demand Charge</t>
  </si>
  <si>
    <t xml:space="preserve">Enter the first date of the month for which the Estimated Monthly Demand Charge is being calculated; i.e.: mm/dd/yy</t>
  </si>
  <si>
    <t xml:space="preserve">Enter date of last cargo delivered under this Contract (prior to relevant month)</t>
  </si>
  <si>
    <t xml:space="preserve">Number of days difference</t>
  </si>
  <si>
    <t xml:space="preserve">=</t>
  </si>
  <si>
    <t xml:space="preserve">Enter a "Y" if the number of days computed above is 50 days or more, and the nondelivery is as a result of a failure of Seller to meet its delivery obligations hereunder when Seller was obligated to deliver at least one cargo during such period;  otherwise, enter an "N".</t>
  </si>
  <si>
    <t xml:space="preserve">N</t>
  </si>
  <si>
    <t xml:space="preserve">Enter a "Y" if the number of days computed above is 50 days or more, and the nondelivery is as a result of an event of Force Majeure under this Contract  affecting either Buyer or Seller;  otherwise, enter an "N".</t>
  </si>
  <si>
    <t xml:space="preserve">6.4 Port Charges </t>
  </si>
  <si>
    <t xml:space="preserve">Enter total port charges (other than items covered under Section 6.4(a)) per delivery., Refer to Section 6.4(b)</t>
  </si>
  <si>
    <t xml:space="preserve">Enter the total of the daily losses or costs incurred by Buyer up to a maximum of $50,000 a day multiplied by the Adjusment Factor, and pro rata for any part of a day, per Section 6.4(e).  (Prepare worksheet, to include date and details. Incorporate within this workbook,  and tie total to amount entered here.)</t>
  </si>
  <si>
    <r>
      <rPr>
        <b val="true"/>
        <sz val="9"/>
        <rFont val="Arial"/>
        <family val="2"/>
      </rPr>
      <t xml:space="preserve">6.8 Demurrage</t>
    </r>
    <r>
      <rPr>
        <sz val="9"/>
        <rFont val="Arial"/>
        <family val="2"/>
      </rPr>
      <t xml:space="preserve"> - If Actual Unloading Time exceeds Allotted Unloading Time (including any extension in accordance with Section 6.7 (c)), Buyer shall pay Seller demurrage…</t>
    </r>
  </si>
  <si>
    <t xml:space="preserve">Enter a "Y" if the LNG Tanker has a cargo capacity in excess 110,000 cubic meters;  otherwise, enter an "N".</t>
  </si>
  <si>
    <t xml:space="preserve">Enter a "Y" if the LNG Tanker has a cargo capacity equal to or less than 110,000 cubic meters;  otherwise, enter an "N".</t>
  </si>
  <si>
    <t xml:space="preserve">Y</t>
  </si>
  <si>
    <t xml:space="preserve">Enter number of days of excess time (In addition to full days, may enter partial days by dividing the # of hours in the partial day by 24)</t>
  </si>
  <si>
    <t xml:space="preserve">Enter the per hour MMBtu value (in MMBtus) of boil-off (calculated as provided in Section 5.3(a))</t>
  </si>
  <si>
    <t xml:space="preserve">Enter the number of full hours by which commencement of unloading is delayed beyond the the 30-hour period (plus any period that Allotted Loading Time is extended pursuant to Section 6.7(c))</t>
  </si>
  <si>
    <t xml:space="preserve">Enter a "Y" if the Commodity Surcharge Rate is applicable. </t>
  </si>
  <si>
    <t xml:space="preserve">7.2(b)(ii)…If neither of such date ranges would allow Buyer, pursuant to Section 7.2(b)(iv), to select a three-day Delivery Window wholly within the 15-day period commencing five days immediately prior to and ending five days immediately following the requested Delivery Range, then each day by which such 15-day period would have to be extended to permit such a three-day Delivery Window shall be a Late Delivery Day. (Refer to the complete section in the contract.)</t>
  </si>
  <si>
    <r>
      <rPr>
        <sz val="9"/>
        <rFont val="Arial"/>
        <family val="2"/>
      </rPr>
      <t xml:space="preserve">If applicable, enter Propane Reference Price [8.3(c)] of Scheduling [7.2(b)(ii)] Late Delivery Days, </t>
    </r>
    <r>
      <rPr>
        <b val="true"/>
        <sz val="9"/>
        <rFont val="Arial"/>
        <family val="2"/>
      </rPr>
      <t xml:space="preserve">applicable to the cargo first delivered after occurrence</t>
    </r>
  </si>
  <si>
    <t xml:space="preserve">Late Delivery Days</t>
  </si>
  <si>
    <t xml:space="preserve">Propane Reference Price</t>
  </si>
  <si>
    <t xml:space="preserve">7.2(d) Seller shall use best reasonable efforts to commence discharge of each cargo as early as practicable on its Scheduled Delivery Date. If a delivery has not been completed (I.e., the cargo has not been fully discharged) by 24:00 hours on the day following the Scheduled Delivery Date ( the "Grace Period") then each day beyond the Grace Period that the delivery is completed shall be a Late Delivery Day. The Grace Period shall be extended hour-for-hour by the time of any delay of the LNG Tanker in arriving at the Unloading Port, proceeding from the anchorage or berthing or unloading at Buyer's Receiving Facilities which is caused by ... (refer to the contract for the complete wording of this section).</t>
  </si>
  <si>
    <r>
      <rPr>
        <sz val="9"/>
        <rFont val="Arial"/>
        <family val="2"/>
      </rPr>
      <t xml:space="preserve">If applicable, enter Propane Reference Price [8.3(d)] of Discharging [7.2(d)] Late Delivery Days, </t>
    </r>
    <r>
      <rPr>
        <b val="true"/>
        <sz val="9"/>
        <rFont val="Arial"/>
        <family val="2"/>
      </rPr>
      <t xml:space="preserve">applicable to the cargo first delivered after occurrence </t>
    </r>
  </si>
  <si>
    <t xml:space="preserve">Hour for hour fraction of Late Delivery Day (not extension of Grace Period);  i.e. 12/24</t>
  </si>
  <si>
    <r>
      <rPr>
        <b val="true"/>
        <sz val="9"/>
        <rFont val="Arial"/>
        <family val="2"/>
      </rPr>
      <t xml:space="preserve">7.2 (e) Short Cargo</t>
    </r>
    <r>
      <rPr>
        <sz val="9"/>
        <rFont val="Arial"/>
        <family val="2"/>
      </rPr>
      <t xml:space="preserve"> - Section shall not apply to the extent the cargo has been reduced by excess boil-off for which Seller is entitled to compensation pursuant to Section 6.9, or as a result of a request by Buyer to deliver less than 95% of such Standard Cargo</t>
    </r>
  </si>
  <si>
    <t xml:space="preserve">Enter in cubic meters cargo of LNG. Refer to 8.3©</t>
  </si>
  <si>
    <t xml:space="preserve">Enter in cubic meters Standard Cargo as shown on the Ninety-Day Schedule</t>
  </si>
  <si>
    <t xml:space="preserve">8.3 (a) Enter MMBtu of LNG delivered</t>
  </si>
  <si>
    <t xml:space="preserve">8.3 (b) Winter Cargo, Second Liquefaction Train</t>
  </si>
  <si>
    <t xml:space="preserve">Enter a "Y" if this is a Winter Cargo; otherwise, "N"</t>
  </si>
  <si>
    <t xml:space="preserve">Enter a "Y" upon commencement of commercial operations of a second liquefaction train, or utilizing common facilities with, the Trinidad Facilities; otherwise, "N"</t>
  </si>
  <si>
    <t xml:space="preserve">8.3 (c) Late Delivery Days</t>
  </si>
  <si>
    <t xml:space="preserve">For Scheduling (Sect. 7.2(b)(ii)), enter a "Y" if Late Delivery Day results from an event of Force Majeure affecting Seller, actions or omissions attributable to Buyer, its agents or employees, or the state or condition of Buyer's Receiving Facilities; otherwise, "N"</t>
  </si>
  <si>
    <t xml:space="preserve">For Discharging (Sect. 7.2(d)), enter a "Y" if Late Delivery Day results from an event of Force Majeure affecting Seller, actions or omissions attributable to Buyer, its agents or employees, or the state or condition of Buyer's Receiving Facilities; otherwise, "N"</t>
  </si>
  <si>
    <t xml:space="preserve">8.3 (c) (i) Enter MMBtu Value of Late Delivery Cargo</t>
  </si>
  <si>
    <t xml:space="preserve">8.3(c)(i)' If the cargo contains less than 2.8 million MMBtus, the amount of reduction per MMBtu shall be multiplied by a fraction equal to 2.8 million divided by the MMBtu value of such cargo</t>
  </si>
  <si>
    <t xml:space="preserve">For Late Delivery Day cargo Short Cargo (7.2(e)), if applicable, enter the MMBtu value of Late Delivery Cargo </t>
  </si>
  <si>
    <t xml:space="preserve">8.3 (c) (iii) Carryover Late Cargo</t>
  </si>
  <si>
    <t xml:space="preserve">Enter a "Y" if this is a Carryover Late Cargo under 7.2©(ii), "N"</t>
  </si>
  <si>
    <t xml:space="preserve">Enter a "Y" if there was an Annual Shortfall Quantity under Section 5.3 with respect to the prior Contract Year; otherwise, "N"</t>
  </si>
  <si>
    <t xml:space="preserve">Enter the cumulative price reduction (of Carryover Late Cargo under 7.2(c)(ii) ) attributable to such prior Contract Year Late Delivery Days</t>
  </si>
  <si>
    <t xml:space="preserve">Enter the reduction in the Annual Adjustment under Sect. 5.3(a) that would have occurred had the Carryover Late Cargo been delivered on December 31 of the prior Contract Year divided by the MMBtu value of the Carryover Late Cargo; and 8.3(c)(iv)</t>
  </si>
  <si>
    <r>
      <rPr>
        <b val="true"/>
        <sz val="9"/>
        <rFont val="Arial"/>
        <family val="2"/>
      </rPr>
      <t xml:space="preserve">8.3(c)(iv)</t>
    </r>
    <r>
      <rPr>
        <sz val="9"/>
        <rFont val="Arial"/>
        <family val="2"/>
      </rPr>
      <t xml:space="preserve"> Enter the number of Late Delivery Days for any one cargo incurred as a result of a delay in the scheduling or delivery of the prior cargo hereunder shall be reduced on a day-for-day basis to the extent that Late Delivery Days were incurred for such prior cargo with respect to such delay.</t>
    </r>
  </si>
  <si>
    <t xml:space="preserve">5.3 Underdeliveries</t>
  </si>
  <si>
    <t xml:space="preserve">Enter quantity of LNG delivered during the Winter Period in Contract Year</t>
  </si>
  <si>
    <t xml:space="preserve">Difference between G2 and G20 is the Carryover Late Cargo1?</t>
  </si>
  <si>
    <t xml:space="preserve">Enter Winter Volume Credit in c/m</t>
  </si>
  <si>
    <t xml:space="preserve">Enter "N", if any portion of such Winter Underdeliveries is not the result of (I) Buyer's failure to request the scheduling of a cargo, (ii) cancellation by Buyer of a scheduled cargo, (iii) any other cause attributable to Buyer, (iv) and event of Force Majeure, or (v) non-delivery of a Winter Cargo excused pursuant to Section 12.3, otherwise, enter "Y"</t>
  </si>
  <si>
    <t xml:space="preserve">Enter "N" if any portion of such Annual Underdeliveries is not the result of (I) Buyer's failure to request the scheduling of a cargo, (ii) cancellation by Buyer of a scheduled cargo, (iii) any other cause attributable to Buyer, (iv) and event of Force Majeure, or (v) ..., otherwise, enter "Y"</t>
  </si>
  <si>
    <t xml:space="preserve">Enter the total dollar value of any price reduction applied pursuant to Section 8.3(c) for Late Delivery Days during the Contract Year</t>
  </si>
  <si>
    <t xml:space="preserve">Enter the total dollar value of any price reduction applied pursuant to Section 8.3© for Late Delivery Days in Contract Year</t>
  </si>
  <si>
    <t xml:space="preserve">Enter a "Y" if Seller, in any Contract Year, refuses (i) to schedule a cargo for Buyer when required to do so under this Contract, or (ii) to deliver and sell to Buyer a cargo which Seller is obligated to deliver to Buyer and instead delivers and sells such cargo to another purchaser, and if, in such Contract Year, a Winter Shortfall Quantity or Annual Shortfall Quantity occurs, all or a portion of which results from Seller's action, ..., otherwise, enter "N" [Refer to 5.3(b)]</t>
  </si>
  <si>
    <t xml:space="preserve">Enter that portion of the incremental value, if any, which Seller obtains from the sale of such cargo to another purchaser as compared to the timely delivery and sale of such cargo to Buyer, that exceeds the sum of (A) the dollar value of any price reduction incurred pursuant to Section 8.3(c) as a result of such actions and (B) the adjustment payable under section 5.3(a) in respect of such Winter Shortfall Quantity or Annual Shortfall Quantity (or the portion thereof attributable to Seller's action)  [Refer to 5.3(b)]</t>
  </si>
  <si>
    <t xml:space="preserve">8.2  Annual Demand Charge Reconciliation</t>
  </si>
  <si>
    <t xml:space="preserve">This should go in the ANDCR w/s</t>
  </si>
  <si>
    <t xml:space="preserve">Enter cargo number, the total quantity of LNG delivered during the Contract Year (in cubic meters), heating value in Btu/scf  of LNG delivered [8.2 (a)(i) ]:</t>
  </si>
  <si>
    <t xml:space="preserve">The heating value s/b entered in each cargo input. </t>
  </si>
  <si>
    <t xml:space="preserve">No. of Cargoes</t>
  </si>
  <si>
    <t xml:space="preserve">Cargo No. </t>
  </si>
  <si>
    <t xml:space="preserve">LNG in c/m</t>
  </si>
  <si>
    <t xml:space="preserve">Heating value of LNG delivered in Btu/scf</t>
  </si>
  <si>
    <t xml:space="preserve">1-01</t>
  </si>
  <si>
    <t xml:space="preserve">1-02</t>
  </si>
  <si>
    <t xml:space="preserve">1-03</t>
  </si>
  <si>
    <t xml:space="preserve">1-04</t>
  </si>
  <si>
    <t xml:space="preserve">1-05</t>
  </si>
  <si>
    <t xml:space="preserve">1-06</t>
  </si>
  <si>
    <t xml:space="preserve">1-07</t>
  </si>
  <si>
    <t xml:space="preserve">1-08</t>
  </si>
  <si>
    <t xml:space="preserve">1-09</t>
  </si>
  <si>
    <t xml:space="preserve">1-10</t>
  </si>
  <si>
    <t xml:space="preserve">Enter the total quantity of LNG delivered in the Winter Cargo (in cubic meters), excluding any quantities delivered in a Carryover Late Cargo [8.2 (a)(ii) ]</t>
  </si>
  <si>
    <t xml:space="preserve">Enter the heating value of the Winter Cargo, not to exceed 1080 But/scf [8.2 (a)(ii) ]</t>
  </si>
  <si>
    <t xml:space="preserve">Enter below quantity in cubic meters not delivered as a result of the failure of Buyer to request the scheduling of a cargo, the cancellation by Buyer of a scheduled cargo, or from any other cause attributable to Buyer (excluding any quatity not delivered as a result of an event of Force Majeure [8.2 (a)(iii)]</t>
  </si>
  <si>
    <t xml:space="preserve">Failure to schedule</t>
  </si>
  <si>
    <t xml:space="preserve">Cancellation of scheduled cargo</t>
  </si>
  <si>
    <t xml:space="preserve">Other cause attributable to Buyer</t>
  </si>
  <si>
    <t xml:space="preserve">Enter below quantity in cubic meters not delivered as a result of the failure of Buyer to request the scheduling of a Winter Cargo, the cancellation by Buyer of a scheduled Winter Cargo, or from any cause attributable to Buyer, excluding any quantity not delivered as result of an event of FM [8.2 (a)(iv)]</t>
  </si>
  <si>
    <t xml:space="preserve">Failure to schedule a Winter Cargo</t>
  </si>
  <si>
    <t xml:space="preserve">Cancellation of scheduled Winter Cargo</t>
  </si>
  <si>
    <t xml:space="preserve">Other cause attributable to Buyer(Winter Cargo)</t>
  </si>
  <si>
    <t xml:space="preserve">8.3 © Propane Reference Price</t>
  </si>
  <si>
    <t xml:space="preserve">Enter Propane Reference Price, Section 8.3©</t>
  </si>
  <si>
    <t xml:space="preserve">(a) For each month, commencing with the month in which the Initial Delivery Date occurs, or is deemed to occur pursuant to Section 4.4, Buyer shall pay to Seller the "Estimated Monthly Demand Charge" equal to the sum of:</t>
  </si>
  <si>
    <t xml:space="preserve">(i)</t>
  </si>
  <si>
    <t xml:space="preserve">+</t>
  </si>
  <si>
    <t xml:space="preserve">(ii)</t>
  </si>
  <si>
    <t xml:space="preserve">Estimated Monthly Demand Charge</t>
  </si>
  <si>
    <t xml:space="preserve">(i) the product of (x) the Demand Charge Rate, times (y) the ACQ (in cubic meters), times (z) 22.84 MMBtu/cubic meter, plus</t>
  </si>
  <si>
    <t xml:space="preserve">Demand   Charge  Rate </t>
  </si>
  <si>
    <t xml:space="preserve">$0.73/MMBtu</t>
  </si>
  <si>
    <t xml:space="preserve">X</t>
  </si>
  <si>
    <t xml:space="preserve">Annual Contract Quantity, ACQ (cm)</t>
  </si>
  <si>
    <t xml:space="preserve">22.84 MMBtu/cm</t>
  </si>
  <si>
    <t xml:space="preserve">divided by</t>
  </si>
  <si>
    <t xml:space="preserve"># of Months in the Contract Year</t>
  </si>
  <si>
    <t xml:space="preserve">(ii) the product of (x) the Demand Surcharge Rate, times (y) a GAMMA Standard Cargo, times (z) 22.84 MMBtu/cubic meter, divided by the number of months in the Contract Year. </t>
  </si>
  <si>
    <t xml:space="preserve">Demand  Surcharge  Rate </t>
  </si>
  <si>
    <t xml:space="preserve">$0.725/MMBtu</t>
  </si>
  <si>
    <t xml:space="preserve">Mathew Standard Cargo</t>
  </si>
  <si>
    <t xml:space="preserve">Where:</t>
  </si>
  <si>
    <t xml:space="preserve">Demand Charge Rate</t>
  </si>
  <si>
    <t xml:space="preserve">The "Demand Charge Rate" applicable to any Contract Year shall be the product of $0.73 per MMBtu times the Adjustment Factor</t>
  </si>
  <si>
    <t xml:space="preserve">Demand Surcharge Rate</t>
  </si>
  <si>
    <t xml:space="preserve">The "Demand Surcharge Rate" applicable to any Contract Year shall be the product of $0.725 per MMBtu times the Adjustment Factor</t>
  </si>
  <si>
    <t xml:space="preserve">(b) The Estimated Monthly Demand Charge shall be payable hereunder for each month regardless of whether any LNG is delivered by Seller to Buyer during that month; provided, however, that Buyer shall be excused from such payment for any month if no cargo has been delivered under this Contract in the 50-day period immediately prior to such month as a result of (i) a failure of Seller to meet its delivery obligations hereunder when Seller was obligated to deliver at least one cargo during such period, or (ii) an event of Force Majeure under this Contract affecting either Buyer or Seller. (Note: This section is reflected in the above formulas of this worksheet and in the Monthly Input worksheet) </t>
  </si>
  <si>
    <t xml:space="preserve">Eco Electrica LP</t>
  </si>
  <si>
    <t xml:space="preserve">LNG Sales Contract </t>
  </si>
  <si>
    <t xml:space="preserve">8.1 (a) Estimated Monthly Demand Charge, the "Adjustment Factor"</t>
  </si>
  <si>
    <t xml:space="preserve">The "Adjustment Factor" applicable to any Contract Year shall equal, 1 + 0.5 ((PR-CPIn/PR-CPIo) - 1):</t>
  </si>
  <si>
    <t xml:space="preserve">x</t>
  </si>
  <si>
    <t xml:space="preserve">((PR-CPIn</t>
  </si>
  <si>
    <t xml:space="preserve">/</t>
  </si>
  <si>
    <t xml:space="preserve">PR-CPIo)</t>
  </si>
  <si>
    <t xml:space="preserve">-</t>
  </si>
  <si>
    <t xml:space="preserve">1)</t>
  </si>
  <si>
    <r>
      <rPr>
        <b val="true"/>
        <sz val="9"/>
        <rFont val="Arial"/>
        <family val="2"/>
      </rPr>
      <t xml:space="preserve">PR-CPI</t>
    </r>
    <r>
      <rPr>
        <sz val="9"/>
        <rFont val="Arial"/>
        <family val="2"/>
      </rPr>
      <t xml:space="preserve"> is the "Consumer Price Index for All Families and Revised Wage Earners' Families in Puerto Rico", as published monthly by the Puerto Rico Bureau of Labor Statistics, Department of Labor and Human Resources.</t>
    </r>
  </si>
  <si>
    <r>
      <rPr>
        <b val="true"/>
        <sz val="9"/>
        <rFont val="Arial"/>
        <family val="2"/>
      </rPr>
      <t xml:space="preserve">PR-CPI</t>
    </r>
    <r>
      <rPr>
        <b val="true"/>
        <sz val="8"/>
        <rFont val="Arial"/>
        <family val="2"/>
      </rPr>
      <t xml:space="preserve">o</t>
    </r>
    <r>
      <rPr>
        <sz val="9"/>
        <rFont val="Arial"/>
        <family val="2"/>
      </rPr>
      <t xml:space="preserve"> is the average of the 12 monthly values of PR-CPI for the calendar year 1995, being 137.0.</t>
    </r>
  </si>
  <si>
    <r>
      <rPr>
        <b val="true"/>
        <sz val="9"/>
        <rFont val="Arial"/>
        <family val="2"/>
      </rPr>
      <t xml:space="preserve">PR-CPI</t>
    </r>
    <r>
      <rPr>
        <b val="true"/>
        <sz val="8"/>
        <rFont val="Arial"/>
        <family val="2"/>
      </rPr>
      <t xml:space="preserve">n</t>
    </r>
    <r>
      <rPr>
        <sz val="9"/>
        <rFont val="Arial"/>
        <family val="2"/>
      </rPr>
      <t xml:space="preserve"> is the average of the 12 monthly values of PR-CPI for the prior Contract Year.</t>
    </r>
  </si>
  <si>
    <t xml:space="preserve">MMBtu of LNG delivered</t>
  </si>
  <si>
    <t xml:space="preserve">x   </t>
  </si>
  <si>
    <t xml:space="preserve">Adjusted Commodity Charge &amp; Surcharge Rates</t>
  </si>
  <si>
    <t xml:space="preserve">   =</t>
  </si>
  <si>
    <t xml:space="preserve">Commodity Charge </t>
  </si>
  <si>
    <t xml:space="preserve">Commodity Charge Rate</t>
  </si>
  <si>
    <t xml:space="preserve">Commodity Surcharge Rate </t>
  </si>
  <si>
    <t xml:space="preserve">Commodity Charge &amp; Surcharge Rates</t>
  </si>
  <si>
    <t xml:space="preserve">, less   </t>
  </si>
  <si>
    <t xml:space="preserve">Adjusted Late Delivery Days Reduction</t>
  </si>
  <si>
    <t xml:space="preserve">(</t>
  </si>
  <si>
    <t xml:space="preserve">7.2(b)(ii) Late Delivery Day, Scheduling</t>
  </si>
  <si>
    <t xml:space="preserve"> 7.2 (d) Late Delivery Day, Discharging</t>
  </si>
  <si>
    <t xml:space="preserve">7.2(e) Late Delivery Day,  Short Cargo</t>
  </si>
  <si>
    <t xml:space="preserve">8.3(c)(iii) Carryover Late Cargo</t>
  </si>
  <si>
    <t xml:space="preserve">less</t>
  </si>
  <si>
    <t xml:space="preserve">8.3(c)(iv) Delay in Prior Cargo</t>
  </si>
  <si>
    <t xml:space="preserve">)</t>
  </si>
  <si>
    <t xml:space="preserve">Adjusted Late Delivery Days Reduction Rate</t>
  </si>
  <si>
    <r>
      <rPr>
        <b val="true"/>
        <sz val="9"/>
        <rFont val="Arial"/>
        <family val="2"/>
      </rPr>
      <t xml:space="preserve">(a)</t>
    </r>
    <r>
      <rPr>
        <sz val="9"/>
        <rFont val="Arial"/>
        <family val="2"/>
      </rPr>
      <t xml:space="preserve"> For each MMBtu of LNG delivered in any Contract Year, Buyer shall pay to Seller a "Commodity Charge Rate" (expressed in U.S. Dollars per MMBtu) equal to the sum of:</t>
    </r>
  </si>
  <si>
    <r>
      <rPr>
        <b val="true"/>
        <sz val="9"/>
        <rFont val="Arial"/>
        <family val="2"/>
      </rPr>
      <t xml:space="preserve">(i)</t>
    </r>
    <r>
      <rPr>
        <sz val="9"/>
        <rFont val="Arial"/>
        <family val="2"/>
      </rPr>
      <t xml:space="preserve"> 68% of the average of the thirty-six (36) closing prices for the NYMEX natural gas futures contracts(Henry Hub) for each month of the prior Contract Year, taking the closing prices for the last three trading days for each of the 12 such contracts; and </t>
    </r>
  </si>
  <si>
    <t xml:space="preserve">68%</t>
  </si>
  <si>
    <t xml:space="preserve">Average of the 36 NYMEX closing prices for each month of the prior Contract Year</t>
  </si>
  <si>
    <r>
      <rPr>
        <b val="true"/>
        <sz val="9"/>
        <rFont val="Arial"/>
        <family val="2"/>
      </rPr>
      <t xml:space="preserve">(ii)</t>
    </r>
    <r>
      <rPr>
        <sz val="9"/>
        <rFont val="Arial"/>
        <family val="2"/>
      </rPr>
      <t xml:space="preserve"> the product of (x) $0.625 per MMBtu times (y) the ratio of the value fo PR-CPIn to the value of PR-CPIo, each as defined in Sect. 8.1(a).</t>
    </r>
  </si>
  <si>
    <t xml:space="preserve">$0.625 per MMBtu</t>
  </si>
  <si>
    <t xml:space="preserve">(PR-CPIn</t>
  </si>
  <si>
    <t xml:space="preserve"> (</t>
  </si>
  <si>
    <r>
      <rPr>
        <b val="true"/>
        <sz val="9"/>
        <rFont val="Arial"/>
        <family val="2"/>
      </rPr>
      <t xml:space="preserve">(b)</t>
    </r>
    <r>
      <rPr>
        <sz val="9"/>
        <rFont val="Arial"/>
        <family val="2"/>
      </rPr>
      <t xml:space="preserve"> In addition to the amount stated in paragraph (a), above, for each MMBtu of LNG delivered in a Winter Cargo, Buyer shall pay to the Seller a "Commodity Surcharge Rate" equal to the product of (x) $0.725 per MMBtu and (y) the Adjustment Factor, as defined in Section 8.1(a). If commercial operations of a second liquefaction train commence at, or utilizing common facilities with, the Trinidad Facilities, then, upon commencement of such operations, the amount of $0.725 per MMBtu in the preceding sentence shall be reduced to $0.225 per MMBtu. </t>
    </r>
  </si>
  <si>
    <t xml:space="preserve">$0.725 or $0.225 per MMBtu</t>
  </si>
  <si>
    <t xml:space="preserve">Late Delivery Day - Scheduling:</t>
  </si>
  <si>
    <t xml:space="preserve">Late      Delivery    Days</t>
  </si>
  <si>
    <t xml:space="preserve">Date (mm/dd/yy)</t>
  </si>
  <si>
    <t xml:space="preserve">$0.02 per MMBtu for a Late Delivery Day</t>
  </si>
  <si>
    <t xml:space="preserve">$0.32 per gallon</t>
  </si>
  <si>
    <t xml:space="preserve">Reduction</t>
  </si>
  <si>
    <t xml:space="preserve">Late Delivery Day - Discharging:</t>
  </si>
  <si>
    <t xml:space="preserve">$0.03 per MMBtu for a Late Delivery Day</t>
  </si>
  <si>
    <t xml:space="preserve">Hour for hour fraction of Late Delivery Day </t>
  </si>
  <si>
    <r>
      <rPr>
        <b val="true"/>
        <sz val="9"/>
        <rFont val="Arial"/>
        <family val="2"/>
      </rPr>
      <t xml:space="preserve">Demurrage charge for LNG Tankers having a cargo capacity in excess of 110,000 cubic meters </t>
    </r>
    <r>
      <rPr>
        <sz val="9"/>
        <rFont val="Arial"/>
        <family val="2"/>
      </rPr>
      <t xml:space="preserve">($50,000 per day for the first three days of excess time, $100,000 per day for the next three days, and $200,000 per day for each day thereafter.</t>
    </r>
  </si>
  <si>
    <t xml:space="preserve">Calculated =</t>
  </si>
  <si>
    <r>
      <rPr>
        <b val="true"/>
        <sz val="9"/>
        <rFont val="Arial"/>
        <family val="2"/>
      </rPr>
      <t xml:space="preserve">Demurrage charge for LNG Tankers having a cargo capacity equal or less than 110,000 cubic meters</t>
    </r>
    <r>
      <rPr>
        <sz val="9"/>
        <rFont val="Arial"/>
        <family val="2"/>
      </rPr>
      <t xml:space="preserve"> ($30,000 per day for the first three days, $60,000 for the next three days, and $120,000 for each day thereafter</t>
    </r>
  </si>
  <si>
    <t xml:space="preserve">Within 45 days after the end of each Contract Year, Seller shall provide to Buyer a reconciliation of the Estimated Monthly Demand Charges paid during such Contract Year against the Annual Demand Charge for such Contract Year, as follows.</t>
  </si>
  <si>
    <r>
      <rPr>
        <b val="true"/>
        <sz val="10"/>
        <rFont val="Arial"/>
        <family val="2"/>
      </rPr>
      <t xml:space="preserve">(a)</t>
    </r>
    <r>
      <rPr>
        <sz val="9"/>
        <rFont val="Arial"/>
        <family val="2"/>
      </rPr>
      <t xml:space="preserve"> The "Annual Demand Charge" payable by Buyer to Seller with respect to each Contract Year shall equal:</t>
    </r>
  </si>
  <si>
    <t xml:space="preserve">  +</t>
  </si>
  <si>
    <t xml:space="preserve">(iii)</t>
  </si>
  <si>
    <t xml:space="preserve">(iv)</t>
  </si>
  <si>
    <t xml:space="preserve">Annual Demand Charge</t>
  </si>
  <si>
    <r>
      <rPr>
        <b val="true"/>
        <sz val="9"/>
        <rFont val="Arial"/>
        <family val="2"/>
      </rPr>
      <t xml:space="preserve">(i)</t>
    </r>
    <r>
      <rPr>
        <sz val="9"/>
        <rFont val="Arial"/>
        <family val="2"/>
      </rPr>
      <t xml:space="preserve">  the product of (x) the greater of the ACQ and the total quantity of LNG delivered during the Contract Year (in cubic meters) times (y) the weighted average heating value of the LNG delivered during such Contract Year, not to exceed 1080 Btu/scf, times (z) the Demand Charge Rate; plus</t>
    </r>
  </si>
  <si>
    <t xml:space="preserve">Greater of ACQ and LNG delivered during the Contract Year </t>
  </si>
  <si>
    <t xml:space="preserve">Weighted average heating value of LNG delivered during Contract Year, not to exceed 1080 Btu/scf</t>
  </si>
  <si>
    <t xml:space="preserve">Used conversion of 1 mmbtu/cm = 35.315mmbtu/scf</t>
  </si>
  <si>
    <t xml:space="preserve">22.84 mmbtu/cm =806.6 mmbtu/scf</t>
  </si>
  <si>
    <t xml:space="preserve">Weighted average heating value of LNG delivered during Contract Year</t>
  </si>
  <si>
    <r>
      <rPr>
        <b val="true"/>
        <sz val="9"/>
        <rFont val="Arial"/>
        <family val="2"/>
      </rPr>
      <t xml:space="preserve">(ii)</t>
    </r>
    <r>
      <rPr>
        <sz val="9"/>
        <rFont val="Arial"/>
        <family val="2"/>
      </rPr>
      <t xml:space="preserve"> the product of (x) the greater of a GAMMA Standard Cargo and the total quantity of LNG delivered in the Winter Cargo (in cubic meters), excluding any quantities delivered in a Carryover Late Cargo, times (y) the heating value of the Winter Cargo, not to exceed 1080 Btu/scf, times (z) the Demand Charge Rate; plus</t>
    </r>
  </si>
  <si>
    <t xml:space="preserve">Greater of GAMMA Standard Cargo and LNG delivered in the Winter Cargo</t>
  </si>
  <si>
    <t xml:space="preserve">   x</t>
  </si>
  <si>
    <t xml:space="preserve">Heating value of the Winter Cargo, not to exceed 1080 Btu/scf </t>
  </si>
  <si>
    <r>
      <rPr>
        <b val="true"/>
        <sz val="9"/>
        <rFont val="Arial"/>
        <family val="2"/>
      </rPr>
      <t xml:space="preserve">(iii)</t>
    </r>
    <r>
      <rPr>
        <sz val="9"/>
        <rFont val="Arial"/>
        <family val="2"/>
      </rPr>
      <t xml:space="preserve"> the product of (x) the amount (in cubic meters) , if any, by which the ACQ exceeds the sum of the quantity of LNG actually delivered during the Contract Year plus any quantity not delivered as a result of the failure of Buyer to request the scheduling of a cargo, the cancellation by Buyer of a scheduled cargo, or from any other cause attributable to Buyer (excluding any quantity not delivered as a result of an event of Force Majeure), times (y) the weighted average heating value of the LNG delivered during such Contract Year, not to exceed 1080 Btu/scf, times (z) the Demand Charge Rate; minus</t>
    </r>
  </si>
  <si>
    <t xml:space="preserve">ACQ</t>
  </si>
  <si>
    <t xml:space="preserve">LNG actually delivered during the Contract Year</t>
  </si>
  <si>
    <t xml:space="preserve">Quantity not delivered as a result of Buyer, does not include FM</t>
  </si>
  <si>
    <t xml:space="preserve">)   x</t>
  </si>
  <si>
    <r>
      <rPr>
        <b val="true"/>
        <sz val="9"/>
        <rFont val="Arial"/>
        <family val="2"/>
      </rPr>
      <t xml:space="preserve">(iv)</t>
    </r>
    <r>
      <rPr>
        <sz val="9"/>
        <rFont val="Arial"/>
        <family val="2"/>
      </rPr>
      <t xml:space="preserve"> the product of (x) the amount in (cubic meters), if any, by which a GAMMA Standard Cargo exceeds the sum of the quantity of the Winter Cargo, excluding any quantities delivered in a Carryover Late Cargo, plus any quantity not delivered as a result of the failure of Buyer to request the scheduling of a Winter Cargo, the cancellation by Buyer of a scheduled Winter Cargo, or from any other cause attributable to Buyer (excluding any quantity not delivered as a result of an event of Force Majeure), times (y) the heating value of the Winter Cargo, not to exceed 1080 Btu/scf, times (z) the Demand Surcharge Charge Rate</t>
    </r>
  </si>
  <si>
    <t xml:space="preserve">GAMMA Standard Cargo</t>
  </si>
  <si>
    <t xml:space="preserve">Winter Cargo</t>
  </si>
  <si>
    <t xml:space="preserve">Quantity not delivered in a Winter Cargo as a result of Buyer, does not include FM</t>
  </si>
  <si>
    <t xml:space="preserve">Heating value of the Winter Cargo, not to exceed 1080 Btu/scf</t>
  </si>
  <si>
    <t xml:space="preserve">If no Winter Cargo was delivered, or if no LNG was delivered during a Contract Year, the heating value of the Winter Cargo or the LNG during that Contract Year for purposes of the above calculations shall be 22.84 MMBtu/cm.</t>
  </si>
  <si>
    <t xml:space="preserve">The "Annual Adjustments" to be credited to Buyer at the end of each Contract Year shall be the sum of:</t>
  </si>
  <si>
    <r>
      <rPr>
        <b val="true"/>
        <sz val="9"/>
        <rFont val="Arial"/>
        <family val="2"/>
      </rPr>
      <t xml:space="preserve">(i)</t>
    </r>
    <r>
      <rPr>
        <sz val="9"/>
        <rFont val="Arial"/>
        <family val="2"/>
      </rPr>
      <t xml:space="preserve"> the amount of any adjustment pursuant to Section 5.3(a); plus</t>
    </r>
  </si>
  <si>
    <t xml:space="preserve">"Winter Shortfall Quantity" or "Winter Underdeliveries" :</t>
  </si>
  <si>
    <t xml:space="preserve">95% of GAMMA Standard Cargo</t>
  </si>
  <si>
    <t xml:space="preserve">Quantity of LNG delivered during the Winter Period</t>
  </si>
  <si>
    <t xml:space="preserve">Winter Volume Credit</t>
  </si>
  <si>
    <t xml:space="preserve">"Annual Shortfall Quantity" or "Annual Underdeliveries" :</t>
  </si>
  <si>
    <t xml:space="preserve">98% of the ACQ</t>
  </si>
  <si>
    <t xml:space="preserve">Quantities of LNG deliveries in Contract Year</t>
  </si>
  <si>
    <t xml:space="preserve">"Winter Shortfall Quantity" </t>
  </si>
  <si>
    <t xml:space="preserve">"Propane Replacement Amount"</t>
  </si>
  <si>
    <t xml:space="preserve">Propane Replacement Amount (Winter):</t>
  </si>
  <si>
    <t xml:space="preserve">MMBtu value of the Winter Shortfall  Quantity</t>
  </si>
  <si>
    <t xml:space="preserve">Propane Reference Price 8.3©</t>
  </si>
  <si>
    <t xml:space="preserve">Propane Replacement Amount (Winter)</t>
  </si>
  <si>
    <t xml:space="preserve">Used conversion of 1mmbtu/cm =35.315 mmbtu/scf</t>
  </si>
  <si>
    <t xml:space="preserve">Propane Replacement Amount (Annual):</t>
  </si>
  <si>
    <t xml:space="preserve">MMBtu value of the Annual Shortfall Quatity</t>
  </si>
  <si>
    <t xml:space="preserve">Propane Replacement Amount (Annual)</t>
  </si>
  <si>
    <t xml:space="preserve">"Winter and Annual Amounts"</t>
  </si>
  <si>
    <t xml:space="preserve">For the Winter Amount:</t>
  </si>
  <si>
    <t xml:space="preserve">Demand Surcharge + Commodity Charge + Commodity Surcharge Rates</t>
  </si>
  <si>
    <t xml:space="preserve">Winter Amount</t>
  </si>
  <si>
    <t xml:space="preserve">For the Annual Amount:</t>
  </si>
  <si>
    <t xml:space="preserve">Commodity Charge Rates</t>
  </si>
  <si>
    <t xml:space="preserve">Annual Amount</t>
  </si>
  <si>
    <t xml:space="preserve">5.3 (a) (i) Annual Adjustment:</t>
  </si>
  <si>
    <t xml:space="preserve">For Winter, Propane Replacement Amt - Winter Amt</t>
  </si>
  <si>
    <t xml:space="preserve">5.3 (a) (ii) Annual Adjustment:</t>
  </si>
  <si>
    <t xml:space="preserve">For Annual, Propane Replacement Amt - Annual Amt</t>
  </si>
  <si>
    <t xml:space="preserve">5.3 (a) Annual Adjustment:</t>
  </si>
  <si>
    <t xml:space="preserve">Annual Adjustment before $ Amt Late Delivery Days in Contract Year</t>
  </si>
  <si>
    <t xml:space="preserve">Less total $ value of Late Delivery Days in Contract Year</t>
  </si>
  <si>
    <t xml:space="preserve">Annual Adjustment under Section 5.3(a)</t>
  </si>
  <si>
    <r>
      <rPr>
        <b val="true"/>
        <sz val="9"/>
        <rFont val="Arial"/>
        <family val="2"/>
      </rPr>
      <t xml:space="preserve">(ii)</t>
    </r>
    <r>
      <rPr>
        <sz val="9"/>
        <rFont val="Arial"/>
        <family val="2"/>
      </rPr>
      <t xml:space="preserve"> the amount of any adjustment pursuant to Section 5.3(b).</t>
    </r>
  </si>
  <si>
    <t xml:space="preserve">Annual Adjustment incremental value under 5.3(b)</t>
  </si>
  <si>
    <t xml:space="preserve">Annual Adjustment under Section 8.2 (b)</t>
  </si>
  <si>
    <t xml:space="preserve">OPTIONAL - NOT PART OF CONTRACT - NOT COMPLETED</t>
  </si>
</sst>
</file>

<file path=xl/styles.xml><?xml version="1.0" encoding="utf-8"?>
<styleSheet xmlns="http://schemas.openxmlformats.org/spreadsheetml/2006/main">
  <numFmts count="36">
    <numFmt numFmtId="164" formatCode="General"/>
    <numFmt numFmtId="165" formatCode="\$#,##0.00_);&quot;($&quot;#,##0.00\)"/>
    <numFmt numFmtId="166" formatCode="_(\$* #,##0.00_);_(\$* \(#,##0.00\);_(\$* \-??_);_(@_)"/>
    <numFmt numFmtId="167" formatCode="_(* #,##0.00_);_(* \(#,##0.00\);_(* \-??_);_(@_)"/>
    <numFmt numFmtId="168" formatCode="0%"/>
    <numFmt numFmtId="169" formatCode="0.0%"/>
    <numFmt numFmtId="170" formatCode="_(* #,##0_);_(* \(#,##0\);_(* \-??_);_(@_)"/>
    <numFmt numFmtId="171" formatCode="#,##0.0_);\(#,##0.0\)"/>
    <numFmt numFmtId="172" formatCode="0.00000"/>
    <numFmt numFmtId="173" formatCode="0.0000"/>
    <numFmt numFmtId="174" formatCode="0.00%"/>
    <numFmt numFmtId="175" formatCode="[$-409]d\-mmm\-yy"/>
    <numFmt numFmtId="176" formatCode="#,##0.000"/>
    <numFmt numFmtId="177" formatCode="#,##0.00000"/>
    <numFmt numFmtId="178" formatCode="mm/dd/yy"/>
    <numFmt numFmtId="179" formatCode="[$-409]m/d/yyyy"/>
    <numFmt numFmtId="180" formatCode="0_);[RED]\(0\)"/>
    <numFmt numFmtId="181" formatCode="0.00"/>
    <numFmt numFmtId="182" formatCode="[$-409]mmm\-yy"/>
    <numFmt numFmtId="183" formatCode="\$#,##0.00_);[RED]&quot;($&quot;#,##0.00\)"/>
    <numFmt numFmtId="184" formatCode="_(\$* #,##0_);_(\$* \(#,##0\);_(\$* \-??_);_(@_)"/>
    <numFmt numFmtId="185" formatCode="#,##0.00"/>
    <numFmt numFmtId="186" formatCode="\$#,##0.000_);[RED]&quot;($&quot;#,##0.000\)"/>
    <numFmt numFmtId="187" formatCode="0.000000000"/>
    <numFmt numFmtId="188" formatCode="\$#,##0.00000_);&quot;($&quot;#,##0.00000\)"/>
    <numFmt numFmtId="189" formatCode="\$#,##0.000000_);[RED]&quot;($&quot;#,##0.000000\)"/>
    <numFmt numFmtId="190" formatCode="_(\$* #,##0.00000_);_(\$* \(#,##0.00000\);_(\$* \-??_);_(@_)"/>
    <numFmt numFmtId="191" formatCode="\$#,##0.000_);&quot;($&quot;#,##0.000\)"/>
    <numFmt numFmtId="192" formatCode="0.0"/>
    <numFmt numFmtId="193" formatCode="\$#,##0.00"/>
    <numFmt numFmtId="194" formatCode="0.00000_);\(0.00000\)"/>
    <numFmt numFmtId="195" formatCode="\$#,##0_);&quot;($&quot;#,##0\)"/>
    <numFmt numFmtId="196" formatCode="_(\$* #,##0.0_);_(\$* \(#,##0.0\);_(\$* \-??_);_(@_)"/>
    <numFmt numFmtId="197" formatCode="_(\$* #,##0.0000_);_(\$* \(#,##0.0000\);_(\$* \-??_);_(@_)"/>
    <numFmt numFmtId="198" formatCode="\$#,##0.00000_);[RED]&quot;($&quot;#,##0.00000\)"/>
    <numFmt numFmtId="199" formatCode="[$-409]#,##0.00_);\(#,##0.00\)"/>
  </numFmts>
  <fonts count="15">
    <font>
      <sz val="10"/>
      <name val="Arial"/>
      <family val="0"/>
    </font>
    <font>
      <sz val="10"/>
      <name val="Arial"/>
      <family val="0"/>
    </font>
    <font>
      <sz val="10"/>
      <name val="Arial"/>
      <family val="0"/>
    </font>
    <font>
      <sz val="10"/>
      <name val="Arial"/>
      <family val="0"/>
    </font>
    <font>
      <b val="true"/>
      <sz val="10"/>
      <name val="Arial"/>
      <family val="2"/>
    </font>
    <font>
      <sz val="10"/>
      <name val="Arial"/>
      <family val="2"/>
    </font>
    <font>
      <sz val="8"/>
      <name val="Arial"/>
      <family val="2"/>
    </font>
    <font>
      <i val="true"/>
      <sz val="10"/>
      <name val="Arial"/>
      <family val="2"/>
    </font>
    <font>
      <sz val="9"/>
      <name val="Arial"/>
      <family val="2"/>
    </font>
    <font>
      <b val="true"/>
      <sz val="9"/>
      <name val="Arial"/>
      <family val="2"/>
    </font>
    <font>
      <b val="true"/>
      <sz val="8"/>
      <name val="Arial"/>
      <family val="2"/>
    </font>
    <font>
      <b val="true"/>
      <sz val="12"/>
      <name val="Arial"/>
      <family val="2"/>
    </font>
    <font>
      <b val="true"/>
      <u val="single"/>
      <sz val="8"/>
      <name val="Arial"/>
      <family val="2"/>
    </font>
    <font>
      <u val="single"/>
      <sz val="10"/>
      <name val="Arial"/>
      <family val="2"/>
    </font>
    <font>
      <i val="true"/>
      <sz val="8"/>
      <name val="Arial"/>
      <family val="2"/>
    </font>
  </fonts>
  <fills count="3">
    <fill>
      <patternFill patternType="none"/>
    </fill>
    <fill>
      <patternFill patternType="gray125"/>
    </fill>
    <fill>
      <patternFill patternType="solid">
        <fgColor rgb="FFCCFFCC"/>
        <bgColor rgb="FFCCFFFF"/>
      </patternFill>
    </fill>
  </fills>
  <borders count="7">
    <border diagonalUp="false" diagonalDown="false">
      <left/>
      <right/>
      <top/>
      <bottom/>
      <diagonal/>
    </border>
    <border diagonalUp="false" diagonalDown="false">
      <left/>
      <right/>
      <top/>
      <bottom style="thin"/>
      <diagonal/>
    </border>
    <border diagonalUp="false" diagonalDown="false">
      <left/>
      <right/>
      <top style="thin"/>
      <bottom style="thin"/>
      <diagonal/>
    </border>
    <border diagonalUp="false" diagonalDown="false">
      <left/>
      <right/>
      <top style="thin"/>
      <bottom style="double"/>
      <diagonal/>
    </border>
    <border diagonalUp="false" diagonalDown="false">
      <left style="medium"/>
      <right style="medium"/>
      <top style="medium"/>
      <bottom style="medium"/>
      <diagonal/>
    </border>
    <border diagonalUp="false" diagonalDown="false">
      <left/>
      <right/>
      <top style="thin"/>
      <bottom/>
      <diagonal/>
    </border>
    <border diagonalUp="false" diagonalDown="false">
      <left/>
      <right/>
      <top/>
      <bottom style="double"/>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7" fontId="0" fillId="0" borderId="0" applyFont="true" applyBorder="false" applyAlignment="false" applyProtection="false"/>
    <xf numFmtId="41" fontId="1" fillId="0" borderId="0" applyFont="true" applyBorder="false" applyAlignment="false" applyProtection="false"/>
    <xf numFmtId="166" fontId="0" fillId="0" borderId="0" applyFont="true" applyBorder="false" applyAlignment="false" applyProtection="false"/>
    <xf numFmtId="42" fontId="1" fillId="0" borderId="0" applyFont="true" applyBorder="false" applyAlignment="false" applyProtection="false"/>
    <xf numFmtId="168" fontId="0" fillId="0" borderId="0" applyFont="true" applyBorder="false" applyAlignment="false" applyProtection="false"/>
  </cellStyleXfs>
  <cellXfs count="21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5" fontId="0" fillId="0" borderId="1" xfId="0" applyFont="false" applyBorder="tru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0" fillId="0" borderId="1" xfId="17" applyFont="true" applyBorder="true" applyAlignment="true" applyProtection="true">
      <alignment horizontal="right" vertical="bottom" textRotation="0" wrapText="false" indent="0" shrinkToFit="false"/>
      <protection locked="true" hidden="false"/>
    </xf>
    <xf numFmtId="165" fontId="0" fillId="0" borderId="0" xfId="17" applyFont="true" applyBorder="true" applyAlignment="true" applyProtection="true">
      <alignment horizontal="right"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5" fontId="5" fillId="0" borderId="0" xfId="17" applyFont="true" applyBorder="true" applyAlignment="true" applyProtection="true">
      <alignment horizontal="general" vertical="bottom" textRotation="0" wrapText="true" indent="0" shrinkToFit="false"/>
      <protection locked="true" hidden="false"/>
    </xf>
    <xf numFmtId="165" fontId="5" fillId="0" borderId="1" xfId="17" applyFont="true" applyBorder="true" applyAlignment="true" applyProtection="true">
      <alignment horizontal="general" vertical="bottom" textRotation="0" wrapText="true" indent="0" shrinkToFit="false"/>
      <protection locked="true" hidden="false"/>
    </xf>
    <xf numFmtId="164" fontId="6" fillId="0" borderId="0" xfId="0" applyFont="true" applyBorder="true" applyAlignment="true" applyProtection="false">
      <alignment horizontal="right" vertical="bottom" textRotation="0" wrapText="false" indent="0" shrinkToFit="false"/>
      <protection locked="true" hidden="false"/>
    </xf>
    <xf numFmtId="164" fontId="6" fillId="0" borderId="0" xfId="0" applyFont="true" applyBorder="false" applyAlignment="true" applyProtection="false">
      <alignment horizontal="right" vertical="bottom" textRotation="0" wrapText="false" indent="0" shrinkToFit="false"/>
      <protection locked="true" hidden="false"/>
    </xf>
    <xf numFmtId="165" fontId="0" fillId="0" borderId="2" xfId="17" applyFont="true" applyBorder="true" applyAlignment="true" applyProtection="true">
      <alignment horizontal="general" vertical="bottom" textRotation="0" wrapText="true" indent="0" shrinkToFit="false"/>
      <protection locked="true" hidden="false"/>
    </xf>
    <xf numFmtId="165" fontId="0" fillId="0" borderId="0" xfId="17" applyFont="true" applyBorder="true" applyAlignment="true" applyProtection="tru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5" fontId="0" fillId="0" borderId="1" xfId="17" applyFont="true" applyBorder="true" applyAlignment="true" applyProtection="true">
      <alignment horizontal="general" vertical="bottom" textRotation="0" wrapText="true" indent="0" shrinkToFit="false"/>
      <protection locked="true" hidden="false"/>
    </xf>
    <xf numFmtId="165" fontId="5" fillId="0" borderId="2" xfId="17" applyFont="true" applyBorder="true" applyAlignment="true" applyProtection="true">
      <alignment horizontal="general" vertical="bottom" textRotation="0" wrapText="false" indent="0" shrinkToFit="false"/>
      <protection locked="true" hidden="false"/>
    </xf>
    <xf numFmtId="165" fontId="0" fillId="0" borderId="0" xfId="15" applyFont="true" applyBorder="true" applyAlignment="true" applyProtection="true">
      <alignment horizontal="general" vertical="bottom" textRotation="0" wrapText="false" indent="0" shrinkToFit="false"/>
      <protection locked="true" hidden="false"/>
    </xf>
    <xf numFmtId="165" fontId="0" fillId="0" borderId="3" xfId="0" applyFont="false" applyBorder="tru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8" fontId="0" fillId="0" borderId="0" xfId="19" applyFont="true" applyBorder="true" applyAlignment="true" applyProtection="true">
      <alignment horizontal="general" vertical="bottom" textRotation="0" wrapText="fals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70" fontId="5" fillId="2" borderId="0" xfId="15" applyFont="true" applyBorder="true" applyAlignment="true" applyProtection="true">
      <alignment horizontal="general" vertical="bottom" textRotation="0" wrapText="false" indent="0" shrinkToFit="false"/>
      <protection locked="true" hidden="false"/>
    </xf>
    <xf numFmtId="170" fontId="8" fillId="0" borderId="0" xfId="15" applyFont="true" applyBorder="true" applyAlignment="true" applyProtection="true">
      <alignment horizontal="general" vertical="bottom" textRotation="0" wrapText="false" indent="0" shrinkToFit="false"/>
      <protection locked="true" hidden="false"/>
    </xf>
    <xf numFmtId="164" fontId="8" fillId="0" borderId="0" xfId="0" applyFont="true" applyBorder="true" applyAlignment="true" applyProtection="false">
      <alignment horizontal="left" vertical="top" textRotation="0" wrapText="true" indent="0" shrinkToFit="false"/>
      <protection locked="true" hidden="false"/>
    </xf>
    <xf numFmtId="164" fontId="10"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4" fontId="10" fillId="0" borderId="1" xfId="0" applyFont="true" applyBorder="true" applyAlignment="true" applyProtection="false">
      <alignment horizontal="right" vertical="bottom" textRotation="0" wrapText="false" indent="0" shrinkToFit="false"/>
      <protection locked="true" hidden="false"/>
    </xf>
    <xf numFmtId="171" fontId="8" fillId="2" borderId="0" xfId="0" applyFont="true" applyBorder="false" applyAlignment="true" applyProtection="false">
      <alignment horizontal="general" vertical="bottom" textRotation="0" wrapText="true" indent="0" shrinkToFit="false"/>
      <protection locked="true" hidden="false"/>
    </xf>
    <xf numFmtId="171" fontId="0" fillId="0" borderId="0" xfId="0" applyFont="false" applyBorder="false" applyAlignment="true" applyProtection="false">
      <alignment horizontal="general" vertical="bottom" textRotation="0" wrapText="true" indent="0" shrinkToFit="false"/>
      <protection locked="true" hidden="false"/>
    </xf>
    <xf numFmtId="171"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left" vertical="top" textRotation="0" wrapText="true" indent="0" shrinkToFit="false"/>
      <protection locked="true" hidden="false"/>
    </xf>
    <xf numFmtId="171" fontId="5" fillId="0" borderId="0" xfId="0" applyFont="true" applyBorder="true" applyAlignment="true" applyProtection="false">
      <alignment horizontal="general" vertical="bottom" textRotation="0" wrapText="true" indent="0" shrinkToFit="false"/>
      <protection locked="true" hidden="false"/>
    </xf>
    <xf numFmtId="164" fontId="10" fillId="0" borderId="0" xfId="0" applyFont="true" applyBorder="false" applyAlignment="true" applyProtection="false">
      <alignment horizontal="right" vertical="bottom" textRotation="0" wrapText="false" indent="0" shrinkToFit="false"/>
      <protection locked="true" hidden="false"/>
    </xf>
    <xf numFmtId="171" fontId="8" fillId="0" borderId="0" xfId="0" applyFont="true" applyBorder="true" applyAlignment="true" applyProtection="false">
      <alignment horizontal="general" vertical="bottom" textRotation="0" wrapText="true" indent="0" shrinkToFit="false"/>
      <protection locked="true" hidden="false"/>
    </xf>
    <xf numFmtId="164" fontId="6" fillId="0" borderId="0" xfId="0" applyFont="true" applyBorder="false" applyAlignment="true" applyProtection="false">
      <alignment horizontal="left" vertical="top" textRotation="0" wrapText="true" indent="0" shrinkToFit="false"/>
      <protection locked="true" hidden="false"/>
    </xf>
    <xf numFmtId="164" fontId="8"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true" indent="0" shrinkToFit="false"/>
      <protection locked="true" hidden="false"/>
    </xf>
    <xf numFmtId="172" fontId="9" fillId="0" borderId="3" xfId="0" applyFont="true" applyBorder="true" applyAlignment="true" applyProtection="false">
      <alignment horizontal="general" vertical="bottom" textRotation="0" wrapText="false" indent="0" shrinkToFit="false"/>
      <protection locked="true" hidden="false"/>
    </xf>
    <xf numFmtId="173" fontId="4" fillId="0" borderId="0" xfId="0" applyFont="true" applyBorder="true" applyAlignment="false" applyProtection="false">
      <alignment horizontal="general" vertical="bottom" textRotation="0" wrapText="false" indent="0" shrinkToFit="false"/>
      <protection locked="true" hidden="false"/>
    </xf>
    <xf numFmtId="174" fontId="0" fillId="0" borderId="0" xfId="0" applyFont="false" applyBorder="false" applyAlignment="true" applyProtection="false">
      <alignment horizontal="right" vertical="bottom" textRotation="0" wrapText="false" indent="0" shrinkToFit="false"/>
      <protection locked="true" hidden="false"/>
    </xf>
    <xf numFmtId="164" fontId="10" fillId="0" borderId="0" xfId="0" applyFont="true" applyBorder="true" applyAlignment="true" applyProtection="false">
      <alignment horizontal="left" vertical="bottom" textRotation="0" wrapText="true" indent="0" shrinkToFit="false"/>
      <protection locked="true" hidden="false"/>
    </xf>
    <xf numFmtId="164" fontId="10" fillId="0" borderId="1" xfId="0" applyFont="true" applyBorder="true" applyAlignment="true" applyProtection="false">
      <alignment horizontal="center" vertical="bottom" textRotation="0" wrapText="false" indent="0" shrinkToFit="false"/>
      <protection locked="true" hidden="false"/>
    </xf>
    <xf numFmtId="164" fontId="10" fillId="0" borderId="1" xfId="0" applyFont="true" applyBorder="true" applyAlignment="true" applyProtection="false">
      <alignment horizontal="center" vertical="bottom" textRotation="0" wrapText="true" indent="0" shrinkToFit="false"/>
      <protection locked="true" hidden="false"/>
    </xf>
    <xf numFmtId="164" fontId="8"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true" applyProtection="false">
      <alignment horizontal="right" vertical="bottom" textRotation="0" wrapText="false" indent="0" shrinkToFit="false"/>
      <protection locked="true" hidden="false"/>
    </xf>
    <xf numFmtId="175" fontId="0" fillId="0" borderId="0" xfId="0" applyFont="false" applyBorder="false" applyAlignment="true" applyProtection="false">
      <alignment horizontal="left" vertical="bottom" textRotation="0" wrapText="false" indent="0" shrinkToFit="false"/>
      <protection locked="true" hidden="false"/>
    </xf>
    <xf numFmtId="176" fontId="8" fillId="2"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77" fontId="0" fillId="0" borderId="0" xfId="0" applyFont="false" applyBorder="false" applyAlignment="false" applyProtection="false">
      <alignment horizontal="general" vertical="bottom" textRotation="0" wrapText="false" indent="0" shrinkToFit="false"/>
      <protection locked="true" hidden="false"/>
    </xf>
    <xf numFmtId="176" fontId="8" fillId="2" borderId="0" xfId="0" applyFont="true" applyBorder="true" applyAlignment="true" applyProtection="false">
      <alignment horizontal="center" vertical="bottom" textRotation="0" wrapText="false" indent="0" shrinkToFit="false"/>
      <protection locked="true" hidden="false"/>
    </xf>
    <xf numFmtId="176" fontId="8"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76" fontId="8" fillId="0" borderId="0" xfId="0" applyFont="true" applyBorder="false" applyAlignment="true" applyProtection="false">
      <alignment horizontal="center"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11" fillId="0" borderId="1" xfId="0" applyFont="true" applyBorder="true" applyAlignment="true" applyProtection="false">
      <alignment horizontal="center" vertical="bottom" textRotation="0" wrapText="false" indent="0" shrinkToFit="false"/>
      <protection locked="true" hidden="false"/>
    </xf>
    <xf numFmtId="177" fontId="9" fillId="0" borderId="4" xfId="0" applyFont="true" applyBorder="true" applyAlignment="true" applyProtection="false">
      <alignment horizontal="center" vertical="bottom" textRotation="0" wrapText="false" indent="0" shrinkToFit="false"/>
      <protection locked="true" hidden="false"/>
    </xf>
    <xf numFmtId="177" fontId="4"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left" vertical="bottom" textRotation="0" wrapText="true" indent="0" shrinkToFit="false"/>
      <protection locked="true" hidden="false"/>
    </xf>
    <xf numFmtId="178" fontId="0" fillId="2" borderId="0" xfId="15" applyFont="true" applyBorder="true" applyAlignment="true" applyProtection="true">
      <alignment horizontal="right" vertical="bottom" textRotation="0" wrapText="false" indent="0" shrinkToFit="false"/>
      <protection locked="true" hidden="false"/>
    </xf>
    <xf numFmtId="164" fontId="8" fillId="0" borderId="0" xfId="0" applyFont="true" applyBorder="false" applyAlignment="true" applyProtection="false">
      <alignment horizontal="left" vertical="bottom" textRotation="0" wrapText="true" indent="0" shrinkToFit="false"/>
      <protection locked="true" hidden="false"/>
    </xf>
    <xf numFmtId="179" fontId="0" fillId="0" borderId="0" xfId="15" applyFont="true" applyBorder="true" applyAlignment="true" applyProtection="true">
      <alignment horizontal="right" vertical="bottom" textRotation="0" wrapText="false" indent="0" shrinkToFit="false"/>
      <protection locked="true" hidden="false"/>
    </xf>
    <xf numFmtId="178" fontId="0" fillId="0" borderId="0" xfId="15" applyFont="true" applyBorder="true" applyAlignment="true" applyProtection="true">
      <alignment horizontal="right"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64" fontId="0" fillId="0" borderId="0" xfId="15" applyFont="true" applyBorder="true" applyAlignment="true" applyProtection="true">
      <alignment horizontal="right" vertical="bottom" textRotation="0" wrapText="false" indent="0" shrinkToFit="false"/>
      <protection locked="true" hidden="false"/>
    </xf>
    <xf numFmtId="164" fontId="0" fillId="2" borderId="0" xfId="15" applyFont="true" applyBorder="true" applyAlignment="true" applyProtection="true">
      <alignment horizontal="center" vertical="bottom" textRotation="0" wrapText="false" indent="0" shrinkToFit="false"/>
      <protection locked="true" hidden="false"/>
    </xf>
    <xf numFmtId="166" fontId="0" fillId="0" borderId="0" xfId="17" applyFont="true" applyBorder="true" applyAlignment="true" applyProtection="true">
      <alignment horizontal="general" vertical="bottom" textRotation="0" wrapText="false" indent="0" shrinkToFit="false"/>
      <protection locked="true" hidden="false"/>
    </xf>
    <xf numFmtId="165" fontId="0" fillId="2" borderId="0" xfId="0" applyFont="false" applyBorder="fals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right" vertical="bottom" textRotation="0" wrapText="true" indent="0" shrinkToFit="false"/>
      <protection locked="true" hidden="false"/>
    </xf>
    <xf numFmtId="165" fontId="8" fillId="0" borderId="0" xfId="0" applyFont="true" applyBorder="false" applyAlignment="true" applyProtection="false">
      <alignment horizontal="center" vertical="bottom" textRotation="0" wrapText="true" indent="0" shrinkToFit="false"/>
      <protection locked="true" hidden="false"/>
    </xf>
    <xf numFmtId="164" fontId="9" fillId="0" borderId="0" xfId="0" applyFont="true" applyBorder="true" applyAlignment="true" applyProtection="false">
      <alignment horizontal="left" vertical="top" textRotation="0" wrapText="true" indent="0" shrinkToFit="false"/>
      <protection locked="true" hidden="false"/>
    </xf>
    <xf numFmtId="164" fontId="0" fillId="2"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0" fillId="2"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9" fillId="0" borderId="0" xfId="0" applyFont="true" applyBorder="false" applyAlignment="true" applyProtection="false">
      <alignment horizontal="left" vertical="top" textRotation="0" wrapText="true" indent="0" shrinkToFit="false"/>
      <protection locked="true" hidden="false"/>
    </xf>
    <xf numFmtId="180" fontId="0" fillId="2" borderId="0" xfId="15" applyFont="true" applyBorder="true" applyAlignment="true" applyProtection="true">
      <alignment horizontal="right" vertical="bottom" textRotation="0" wrapText="false" indent="0" shrinkToFit="false"/>
      <protection locked="true" hidden="false"/>
    </xf>
    <xf numFmtId="164" fontId="8" fillId="0" borderId="0" xfId="0" applyFont="true" applyBorder="false" applyAlignment="true" applyProtection="false">
      <alignment horizontal="left" vertical="top" textRotation="0" wrapText="true" indent="0" shrinkToFit="false"/>
      <protection locked="true" hidden="false"/>
    </xf>
    <xf numFmtId="170" fontId="0" fillId="0" borderId="0" xfId="15" applyFont="true" applyBorder="true" applyAlignment="true" applyProtection="true">
      <alignment horizontal="right" vertical="bottom" textRotation="0" wrapText="false" indent="0" shrinkToFit="false"/>
      <protection locked="true" hidden="false"/>
    </xf>
    <xf numFmtId="170" fontId="0" fillId="2" borderId="0" xfId="15" applyFont="true" applyBorder="true" applyAlignment="true" applyProtection="true">
      <alignment horizontal="right" vertical="bottom" textRotation="0" wrapText="false" indent="0" shrinkToFit="false"/>
      <protection locked="true" hidden="false"/>
    </xf>
    <xf numFmtId="178" fontId="0" fillId="2" borderId="0" xfId="0" applyFont="false" applyBorder="false" applyAlignment="true" applyProtection="false">
      <alignment horizontal="center" vertical="bottom" textRotation="0" wrapText="false" indent="0" shrinkToFit="false"/>
      <protection locked="true" hidden="false"/>
    </xf>
    <xf numFmtId="164" fontId="6" fillId="0" borderId="0" xfId="0" applyFont="true" applyBorder="true" applyAlignment="true" applyProtection="false">
      <alignment horizontal="left" vertical="bottom" textRotation="0" wrapText="true" indent="0" shrinkToFit="false"/>
      <protection locked="true" hidden="false"/>
    </xf>
    <xf numFmtId="172" fontId="0" fillId="2" borderId="0" xfId="0" applyFont="false" applyBorder="false" applyAlignment="true" applyProtection="false">
      <alignment horizontal="center" vertical="bottom" textRotation="0" wrapText="false" indent="0" shrinkToFit="false"/>
      <protection locked="true" hidden="false"/>
    </xf>
    <xf numFmtId="181" fontId="0" fillId="2" borderId="0" xfId="0" applyFont="false" applyBorder="fals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left" vertical="bottom" textRotation="0" wrapText="true" indent="0" shrinkToFit="false"/>
      <protection locked="true" hidden="false"/>
    </xf>
    <xf numFmtId="170" fontId="0" fillId="2" borderId="0" xfId="15" applyFont="true" applyBorder="true" applyAlignment="true" applyProtection="true">
      <alignment horizontal="general" vertical="bottom" textRotation="0" wrapText="false" indent="0" shrinkToFit="false"/>
      <protection locked="true" hidden="false"/>
    </xf>
    <xf numFmtId="170" fontId="0" fillId="0" borderId="0" xfId="15" applyFont="true" applyBorder="true" applyAlignment="true" applyProtection="true">
      <alignment horizontal="general" vertical="bottom" textRotation="0" wrapText="false" indent="0" shrinkToFit="false"/>
      <protection locked="true" hidden="false"/>
    </xf>
    <xf numFmtId="170" fontId="0" fillId="2" borderId="0" xfId="15" applyFont="true" applyBorder="true" applyAlignment="true" applyProtection="true">
      <alignment horizontal="center" vertical="bottom" textRotation="0" wrapText="false" indent="0" shrinkToFit="false"/>
      <protection locked="true" hidden="false"/>
    </xf>
    <xf numFmtId="170" fontId="0" fillId="0" borderId="0" xfId="15" applyFont="true" applyBorder="true" applyAlignment="true" applyProtection="true">
      <alignment horizontal="center" vertical="bottom" textRotation="0" wrapText="false" indent="0" shrinkToFit="false"/>
      <protection locked="true" hidden="false"/>
    </xf>
    <xf numFmtId="170" fontId="5" fillId="2" borderId="0" xfId="15" applyFont="true" applyBorder="true" applyAlignment="true" applyProtection="true">
      <alignment horizontal="right" vertical="bottom" textRotation="0" wrapText="false" indent="0" shrinkToFit="false"/>
      <protection locked="true" hidden="false"/>
    </xf>
    <xf numFmtId="164" fontId="0" fillId="0" borderId="0" xfId="0" applyFont="true" applyBorder="true" applyAlignment="true" applyProtection="false">
      <alignment horizontal="left" vertical="bottom" textRotation="0" wrapText="tru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7" fontId="0" fillId="0" borderId="0" xfId="15" applyFont="true" applyBorder="true" applyAlignment="true" applyProtection="true">
      <alignment horizontal="general" vertical="bottom" textRotation="0" wrapText="false" indent="0" shrinkToFit="false"/>
      <protection locked="true" hidden="false"/>
    </xf>
    <xf numFmtId="170" fontId="8" fillId="2" borderId="0" xfId="15" applyFont="true" applyBorder="true" applyAlignment="true" applyProtection="true">
      <alignment horizontal="general" vertical="bottom" textRotation="0" wrapText="false" indent="0" shrinkToFit="false"/>
      <protection locked="true" hidden="false"/>
    </xf>
    <xf numFmtId="170" fontId="8" fillId="2" borderId="0" xfId="15" applyFont="true" applyBorder="true" applyAlignment="true" applyProtection="true">
      <alignment horizontal="center" vertical="bottom" textRotation="0" wrapText="false" indent="0" shrinkToFit="false"/>
      <protection locked="true" hidden="false"/>
    </xf>
    <xf numFmtId="165" fontId="0" fillId="2" borderId="0" xfId="15" applyFont="true" applyBorder="true" applyAlignment="true" applyProtection="true">
      <alignment horizontal="right" vertical="bottom" textRotation="0" wrapText="false" indent="0" shrinkToFit="false"/>
      <protection locked="true" hidden="false"/>
    </xf>
    <xf numFmtId="165" fontId="0" fillId="0" borderId="0" xfId="15" applyFont="true" applyBorder="true" applyAlignment="true" applyProtection="true">
      <alignment horizontal="right" vertical="bottom" textRotation="0" wrapText="false" indent="0" shrinkToFit="false"/>
      <protection locked="true" hidden="false"/>
    </xf>
    <xf numFmtId="165" fontId="0" fillId="2" borderId="0" xfId="15" applyFont="true" applyBorder="true" applyAlignment="true" applyProtection="true">
      <alignment horizontal="center" vertical="bottom" textRotation="0" wrapText="false" indent="0" shrinkToFit="false"/>
      <protection locked="true" hidden="false"/>
    </xf>
    <xf numFmtId="164" fontId="10" fillId="0" borderId="0" xfId="0" applyFont="true" applyBorder="false" applyAlignment="true" applyProtection="false">
      <alignment horizontal="center" vertical="bottom" textRotation="0" wrapText="true" indent="0" shrinkToFit="false"/>
      <protection locked="true" hidden="false"/>
    </xf>
    <xf numFmtId="182" fontId="8" fillId="2" borderId="0" xfId="0" applyFont="true" applyBorder="false" applyAlignment="true" applyProtection="false">
      <alignment horizontal="center" vertical="bottom" textRotation="0" wrapText="true" indent="0" shrinkToFit="false"/>
      <protection locked="true" hidden="false"/>
    </xf>
    <xf numFmtId="170" fontId="8" fillId="2" borderId="0" xfId="15" applyFont="true" applyBorder="true" applyAlignment="true" applyProtection="true">
      <alignment horizontal="right" vertical="bottom" textRotation="0" wrapText="false" indent="0" shrinkToFit="false"/>
      <protection locked="true" hidden="false"/>
    </xf>
    <xf numFmtId="170" fontId="8" fillId="0" borderId="0" xfId="15" applyFont="true" applyBorder="true" applyAlignment="true" applyProtection="true">
      <alignment horizontal="center" vertical="bottom" textRotation="0" wrapText="fals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70" fontId="8" fillId="2" borderId="0" xfId="15" applyFont="true" applyBorder="true" applyAlignment="true" applyProtection="true">
      <alignment horizontal="right" vertical="bottom" textRotation="0" wrapText="true" indent="0" shrinkToFit="false"/>
      <protection locked="true" hidden="false"/>
    </xf>
    <xf numFmtId="164" fontId="6" fillId="0" borderId="0" xfId="0" applyFont="true" applyBorder="false" applyAlignment="true" applyProtection="false">
      <alignment horizontal="left" vertical="bottom" textRotation="0" wrapText="true" indent="0" shrinkToFit="false"/>
      <protection locked="true" hidden="false"/>
    </xf>
    <xf numFmtId="170" fontId="8" fillId="2" borderId="0" xfId="15" applyFont="true" applyBorder="true" applyAlignment="true" applyProtection="true">
      <alignment horizontal="left" vertical="bottom" textRotation="0" wrapText="tru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83" fontId="5" fillId="0" borderId="0" xfId="0" applyFont="true" applyBorder="false" applyAlignment="true" applyProtection="false">
      <alignment horizontal="center" vertical="bottom" textRotation="0" wrapText="true" indent="0" shrinkToFit="false"/>
      <protection locked="true" hidden="false"/>
    </xf>
    <xf numFmtId="184" fontId="0" fillId="0" borderId="0" xfId="17" applyFont="true" applyBorder="true" applyAlignment="true" applyProtection="true">
      <alignment horizontal="center" vertical="bottom" textRotation="0" wrapText="false" indent="0" shrinkToFit="false"/>
      <protection locked="true" hidden="false"/>
    </xf>
    <xf numFmtId="164" fontId="10" fillId="0" borderId="2" xfId="0" applyFont="true" applyBorder="true" applyAlignment="true" applyProtection="false">
      <alignment horizontal="center" vertical="bottom" textRotation="0" wrapText="tru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4" fontId="10" fillId="0" borderId="1" xfId="0" applyFont="true" applyBorder="true" applyAlignment="true" applyProtection="false">
      <alignment horizontal="right" vertical="bottom" textRotation="0" wrapText="true" indent="0" shrinkToFit="false"/>
      <protection locked="true" hidden="false"/>
    </xf>
    <xf numFmtId="164" fontId="4" fillId="0" borderId="1" xfId="0" applyFont="true" applyBorder="true" applyAlignment="true" applyProtection="false">
      <alignment horizontal="center" vertical="bottom" textRotation="0" wrapText="true" indent="0" shrinkToFit="false"/>
      <protection locked="true" hidden="false"/>
    </xf>
    <xf numFmtId="183" fontId="0" fillId="0" borderId="0" xfId="0" applyFont="false" applyBorder="false" applyAlignment="true" applyProtection="false">
      <alignment horizontal="center" vertical="bottom" textRotation="0" wrapText="false" indent="0" shrinkToFit="false"/>
      <protection locked="true" hidden="false"/>
    </xf>
    <xf numFmtId="172" fontId="0" fillId="0" borderId="0" xfId="0" applyFont="false" applyBorder="false" applyAlignment="true" applyProtection="false">
      <alignment horizontal="center" vertical="bottom" textRotation="0" wrapText="false" indent="0" shrinkToFit="false"/>
      <protection locked="true" hidden="false"/>
    </xf>
    <xf numFmtId="185" fontId="0" fillId="0" borderId="0" xfId="0" applyFont="false" applyBorder="false" applyAlignment="true" applyProtection="false">
      <alignment horizontal="center" vertical="bottom" textRotation="0" wrapText="false" indent="0" shrinkToFit="false"/>
      <protection locked="true" hidden="false"/>
    </xf>
    <xf numFmtId="165" fontId="5" fillId="0" borderId="0" xfId="0" applyFont="true" applyBorder="false" applyAlignment="true" applyProtection="false">
      <alignment horizontal="center" vertical="bottom" textRotation="0" wrapText="true" indent="0" shrinkToFit="false"/>
      <protection locked="true" hidden="false"/>
    </xf>
    <xf numFmtId="186" fontId="0" fillId="0" borderId="0" xfId="0" applyFont="false" applyBorder="false" applyAlignment="true" applyProtection="false">
      <alignment horizontal="center" vertical="bottom" textRotation="0" wrapText="false" indent="0" shrinkToFit="false"/>
      <protection locked="true" hidden="false"/>
    </xf>
    <xf numFmtId="164" fontId="10" fillId="0" borderId="0" xfId="0" applyFont="true" applyBorder="false" applyAlignment="true" applyProtection="false">
      <alignment horizontal="left" vertical="bottom" textRotation="0" wrapText="true" indent="0" shrinkToFit="false"/>
      <protection locked="true" hidden="false"/>
    </xf>
    <xf numFmtId="164" fontId="8" fillId="0" borderId="0" xfId="0" applyFont="true" applyBorder="false" applyAlignment="true" applyProtection="false">
      <alignment horizontal="left" vertical="top" textRotation="0" wrapText="false" indent="0" shrinkToFit="false"/>
      <protection locked="true" hidden="false"/>
    </xf>
    <xf numFmtId="164" fontId="10" fillId="0" borderId="0" xfId="0" applyFont="true" applyBorder="false" applyAlignment="true" applyProtection="false">
      <alignment horizontal="left" vertical="top" textRotation="0" wrapText="tru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81" fontId="0" fillId="0" borderId="0" xfId="0" applyFont="false" applyBorder="false" applyAlignment="false" applyProtection="false">
      <alignment horizontal="general" vertical="bottom" textRotation="0" wrapText="false" indent="0" shrinkToFit="false"/>
      <protection locked="true" hidden="false"/>
    </xf>
    <xf numFmtId="187" fontId="0" fillId="0" borderId="0" xfId="0" applyFont="false" applyBorder="fals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general" vertical="top" textRotation="0" wrapText="true" indent="0" shrinkToFit="false"/>
      <protection locked="true" hidden="false"/>
    </xf>
    <xf numFmtId="164" fontId="4" fillId="0" borderId="0" xfId="0" applyFont="true" applyBorder="false" applyAlignment="true" applyProtection="false">
      <alignment horizontal="right"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true" indent="0" shrinkToFit="false"/>
      <protection locked="true" hidden="false"/>
    </xf>
    <xf numFmtId="170" fontId="0" fillId="0" borderId="0" xfId="15" applyFont="true" applyBorder="true" applyAlignment="true" applyProtection="true">
      <alignment horizontal="center" vertical="bottom" textRotation="0" wrapText="true" indent="0" shrinkToFit="false"/>
      <protection locked="true" hidden="false"/>
    </xf>
    <xf numFmtId="188" fontId="0" fillId="0" borderId="0" xfId="17" applyFont="true" applyBorder="true" applyAlignment="true" applyProtection="true">
      <alignment horizontal="center"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tru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88" fontId="5" fillId="0" borderId="0" xfId="17" applyFont="true" applyBorder="true" applyAlignment="true" applyProtection="true">
      <alignment horizontal="center" vertical="bottom" textRotation="0" wrapText="true" indent="0" shrinkToFit="false"/>
      <protection locked="true" hidden="false"/>
    </xf>
    <xf numFmtId="188" fontId="4" fillId="0" borderId="0" xfId="0" applyFont="true" applyBorder="false" applyAlignment="true" applyProtection="false">
      <alignment horizontal="center" vertical="bottom" textRotation="0" wrapText="true" indent="0" shrinkToFit="false"/>
      <protection locked="true" hidden="false"/>
    </xf>
    <xf numFmtId="188" fontId="4" fillId="0" borderId="0" xfId="0" applyFont="true" applyBorder="false" applyAlignment="true" applyProtection="false">
      <alignment horizontal="left" vertical="bottom" textRotation="0" wrapText="true" indent="0" shrinkToFit="false"/>
      <protection locked="true" hidden="false"/>
    </xf>
    <xf numFmtId="188" fontId="4" fillId="0" borderId="0" xfId="0" applyFont="true" applyBorder="false" applyAlignment="true" applyProtection="false">
      <alignment horizontal="left" vertical="bottom" textRotation="0" wrapText="false" indent="0" shrinkToFit="false"/>
      <protection locked="true" hidden="false"/>
    </xf>
    <xf numFmtId="188" fontId="0" fillId="0" borderId="0" xfId="0" applyFont="false" applyBorder="false" applyAlignment="false" applyProtection="false">
      <alignment horizontal="general" vertical="bottom" textRotation="0" wrapText="false" indent="0" shrinkToFit="false"/>
      <protection locked="true" hidden="false"/>
    </xf>
    <xf numFmtId="164" fontId="10" fillId="0" borderId="0" xfId="0" applyFont="true" applyBorder="true" applyAlignment="true" applyProtection="false">
      <alignment horizontal="center" vertical="bottom" textRotation="0" wrapText="true" indent="0" shrinkToFit="false"/>
      <protection locked="true" hidden="false"/>
    </xf>
    <xf numFmtId="164" fontId="8" fillId="0" borderId="0" xfId="0" applyFont="true" applyBorder="false" applyAlignment="true" applyProtection="false">
      <alignment horizontal="right"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10" fillId="0" borderId="1" xfId="0" applyFont="true" applyBorder="true" applyAlignment="true" applyProtection="false">
      <alignment horizontal="general" vertical="bottom" textRotation="0" wrapText="true" indent="0" shrinkToFit="false"/>
      <protection locked="true" hidden="false"/>
    </xf>
    <xf numFmtId="164" fontId="6" fillId="0" borderId="0" xfId="0" applyFont="true" applyBorder="false" applyAlignment="true" applyProtection="false">
      <alignment horizontal="center"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89" fontId="0" fillId="0" borderId="0" xfId="17" applyFont="true" applyBorder="true" applyAlignment="true" applyProtection="true">
      <alignment horizontal="right" vertical="bottom" textRotation="0" wrapText="false" indent="0" shrinkToFit="false"/>
      <protection locked="true" hidden="false"/>
    </xf>
    <xf numFmtId="190" fontId="0" fillId="0" borderId="5" xfId="17" applyFont="true" applyBorder="true" applyAlignment="true" applyProtection="true">
      <alignment horizontal="center" vertical="bottom" textRotation="0" wrapText="false" indent="0" shrinkToFit="false"/>
      <protection locked="true" hidden="false"/>
    </xf>
    <xf numFmtId="190" fontId="0" fillId="0" borderId="0" xfId="17" applyFont="true" applyBorder="true" applyAlignment="true" applyProtection="true">
      <alignment horizontal="general" vertical="bottom" textRotation="0" wrapText="false" indent="0" shrinkToFit="false"/>
      <protection locked="true" hidden="false"/>
    </xf>
    <xf numFmtId="188" fontId="4"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center" vertical="top" textRotation="0" wrapText="true" indent="0" shrinkToFit="false"/>
      <protection locked="true" hidden="false"/>
    </xf>
    <xf numFmtId="164" fontId="4" fillId="0" borderId="0" xfId="0" applyFont="true" applyBorder="false" applyAlignment="true" applyProtection="false">
      <alignment horizontal="general" vertical="top" textRotation="0" wrapText="true" indent="0" shrinkToFit="false"/>
      <protection locked="true" hidden="false"/>
    </xf>
    <xf numFmtId="164" fontId="9" fillId="0" borderId="1" xfId="0" applyFont="true" applyBorder="true" applyAlignment="true" applyProtection="false">
      <alignment horizontal="center" vertical="bottom" textRotation="0" wrapText="true" indent="0" shrinkToFit="false"/>
      <protection locked="true" hidden="false"/>
    </xf>
    <xf numFmtId="164" fontId="4" fillId="0" borderId="0" xfId="0" applyFont="true" applyBorder="true" applyAlignment="true" applyProtection="false">
      <alignment horizontal="center" vertical="bottom" textRotation="0" wrapText="true" indent="0" shrinkToFit="false"/>
      <protection locked="true" hidden="false"/>
    </xf>
    <xf numFmtId="164" fontId="10" fillId="0" borderId="0" xfId="0" applyFont="true" applyBorder="true" applyAlignment="true" applyProtection="false">
      <alignment horizontal="center" vertical="top" textRotation="0" wrapText="tru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88" fontId="0" fillId="0" borderId="0" xfId="17" applyFont="true" applyBorder="true" applyAlignment="true" applyProtection="true">
      <alignment horizontal="center" vertical="top" textRotation="0" wrapText="true" indent="0" shrinkToFit="false"/>
      <protection locked="true" hidden="false"/>
    </xf>
    <xf numFmtId="188" fontId="0" fillId="0" borderId="0" xfId="17" applyFont="true" applyBorder="true" applyAlignment="true" applyProtection="true">
      <alignment horizontal="general" vertical="top" textRotation="0" wrapText="true" indent="0" shrinkToFit="false"/>
      <protection locked="true" hidden="false"/>
    </xf>
    <xf numFmtId="190" fontId="0" fillId="0" borderId="0" xfId="17" applyFont="true" applyBorder="true" applyAlignment="true" applyProtection="true">
      <alignment horizontal="general" vertical="top" textRotation="0" wrapText="true" indent="0" shrinkToFit="false"/>
      <protection locked="true" hidden="false"/>
    </xf>
    <xf numFmtId="166" fontId="0" fillId="0" borderId="0" xfId="0" applyFont="false" applyBorder="false" applyAlignment="true" applyProtection="false">
      <alignment horizontal="general" vertical="top" textRotation="0" wrapText="true" indent="0" shrinkToFit="false"/>
      <protection locked="true" hidden="false"/>
    </xf>
    <xf numFmtId="190" fontId="0" fillId="0" borderId="0" xfId="17" applyFont="true" applyBorder="true" applyAlignment="true" applyProtection="true">
      <alignment horizontal="center" vertical="top" textRotation="0" wrapText="true" indent="0" shrinkToFit="false"/>
      <protection locked="true" hidden="false"/>
    </xf>
    <xf numFmtId="166" fontId="0" fillId="0" borderId="0" xfId="17" applyFont="true" applyBorder="true" applyAlignment="true" applyProtection="true">
      <alignment horizontal="general" vertical="top" textRotation="0" wrapText="true" indent="0" shrinkToFit="false"/>
      <protection locked="true" hidden="false"/>
    </xf>
    <xf numFmtId="164" fontId="9" fillId="0" borderId="0" xfId="0" applyFont="true" applyBorder="false" applyAlignment="true" applyProtection="false">
      <alignment horizontal="general" vertical="top" textRotation="0" wrapText="true" indent="0" shrinkToFit="false"/>
      <protection locked="true" hidden="false"/>
    </xf>
    <xf numFmtId="168" fontId="4" fillId="0" borderId="1"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true" applyAlignment="true" applyProtection="false">
      <alignment horizontal="general" vertical="bottom" textRotation="0" wrapText="true" indent="0" shrinkToFit="false"/>
      <protection locked="true" hidden="false"/>
    </xf>
    <xf numFmtId="168" fontId="0" fillId="0" borderId="0" xfId="0" applyFont="false" applyBorder="false" applyAlignment="true" applyProtection="false">
      <alignment horizontal="center" vertical="bottom" textRotation="0" wrapText="false" indent="0" shrinkToFit="false"/>
      <protection locked="true" hidden="false"/>
    </xf>
    <xf numFmtId="188" fontId="0" fillId="0" borderId="0" xfId="0" applyFont="false" applyBorder="false" applyAlignment="true" applyProtection="false">
      <alignment horizontal="center" vertical="bottom" textRotation="0" wrapText="false" indent="0" shrinkToFit="false"/>
      <protection locked="true" hidden="false"/>
    </xf>
    <xf numFmtId="188" fontId="0" fillId="0" borderId="0" xfId="17" applyFont="true" applyBorder="true" applyAlignment="true" applyProtection="true">
      <alignment horizontal="general" vertical="bottom" textRotation="0" wrapText="false" indent="0" shrinkToFit="false"/>
      <protection locked="true" hidden="false"/>
    </xf>
    <xf numFmtId="168" fontId="10" fillId="0" borderId="1" xfId="0" applyFont="true" applyBorder="true" applyAlignment="true" applyProtection="false">
      <alignment horizontal="center" vertical="bottom" textRotation="0" wrapText="true" indent="0" shrinkToFit="false"/>
      <protection locked="true" hidden="false"/>
    </xf>
    <xf numFmtId="191" fontId="0" fillId="0" borderId="0" xfId="0" applyFont="false" applyBorder="false" applyAlignment="true" applyProtection="false">
      <alignment horizontal="center" vertical="bottom" textRotation="0" wrapText="false" indent="0" shrinkToFit="false"/>
      <protection locked="true" hidden="false"/>
    </xf>
    <xf numFmtId="192" fontId="0" fillId="0" borderId="0" xfId="0" applyFont="false" applyBorder="false" applyAlignment="true" applyProtection="false">
      <alignment horizontal="center" vertical="bottom" textRotation="0" wrapText="false" indent="0" shrinkToFit="false"/>
      <protection locked="true" hidden="false"/>
    </xf>
    <xf numFmtId="164" fontId="8" fillId="0" borderId="0" xfId="0" applyFont="true" applyBorder="false" applyAlignment="true" applyProtection="false">
      <alignment horizontal="general" vertical="top" textRotation="0" wrapText="true" indent="0" shrinkToFit="false"/>
      <protection locked="true" hidden="false"/>
    </xf>
    <xf numFmtId="188" fontId="0" fillId="0" borderId="0" xfId="15" applyFont="true" applyBorder="true" applyAlignment="true" applyProtection="true">
      <alignment horizontal="center" vertical="bottom" textRotation="0" wrapText="false" indent="0" shrinkToFit="false"/>
      <protection locked="true" hidden="false"/>
    </xf>
    <xf numFmtId="166" fontId="4" fillId="0" borderId="0" xfId="17" applyFont="true" applyBorder="true" applyAlignment="true" applyProtection="true">
      <alignment horizontal="center" vertical="top" textRotation="0" wrapText="true" indent="0" shrinkToFit="false"/>
      <protection locked="true" hidden="false"/>
    </xf>
    <xf numFmtId="164" fontId="12" fillId="0" borderId="0" xfId="0" applyFont="true" applyBorder="true" applyAlignment="true" applyProtection="false">
      <alignment horizontal="center" vertical="bottom" textRotation="0" wrapText="true" indent="0" shrinkToFit="false"/>
      <protection locked="true" hidden="false"/>
    </xf>
    <xf numFmtId="164" fontId="12" fillId="0" borderId="0" xfId="0" applyFont="true" applyBorder="false" applyAlignment="true" applyProtection="false">
      <alignment horizontal="center" vertical="bottom" textRotation="0" wrapText="true" indent="0" shrinkToFit="false"/>
      <protection locked="true" hidden="false"/>
    </xf>
    <xf numFmtId="178" fontId="0" fillId="0" borderId="0" xfId="0" applyFont="false" applyBorder="false" applyAlignment="false" applyProtection="false">
      <alignment horizontal="general" vertical="bottom" textRotation="0" wrapText="false" indent="0" shrinkToFit="false"/>
      <protection locked="true" hidden="false"/>
    </xf>
    <xf numFmtId="193" fontId="0" fillId="0" borderId="0" xfId="0" applyFont="false" applyBorder="false" applyAlignment="true" applyProtection="false">
      <alignment horizontal="center" vertical="bottom" textRotation="0" wrapText="false" indent="0" shrinkToFit="false"/>
      <protection locked="true" hidden="false"/>
    </xf>
    <xf numFmtId="172" fontId="13" fillId="0" borderId="0" xfId="0" applyFont="true" applyBorder="false" applyAlignment="true" applyProtection="false">
      <alignment horizontal="center" vertical="bottom" textRotation="0" wrapText="false" indent="0" shrinkToFit="false"/>
      <protection locked="true" hidden="false"/>
    </xf>
    <xf numFmtId="194" fontId="0" fillId="0" borderId="0" xfId="0" applyFont="false" applyBorder="false" applyAlignment="false" applyProtection="false">
      <alignment horizontal="general" vertical="bottom" textRotation="0" wrapText="false" indent="0" shrinkToFit="false"/>
      <protection locked="true" hidden="false"/>
    </xf>
    <xf numFmtId="181" fontId="0" fillId="0" borderId="0" xfId="0" applyFont="false" applyBorder="false" applyAlignment="true" applyProtection="false">
      <alignment horizontal="center" vertical="bottom" textRotation="0" wrapText="false" indent="0" shrinkToFit="false"/>
      <protection locked="true" hidden="false"/>
    </xf>
    <xf numFmtId="195" fontId="0" fillId="0" borderId="0" xfId="17" applyFont="true" applyBorder="true" applyAlignment="true" applyProtection="true">
      <alignment horizontal="general" vertical="bottom" textRotation="0" wrapText="false" indent="0" shrinkToFit="false"/>
      <protection locked="true" hidden="false"/>
    </xf>
    <xf numFmtId="192" fontId="0" fillId="0" borderId="0" xfId="0" applyFont="fals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true" indent="0" shrinkToFit="false"/>
      <protection locked="true" hidden="false"/>
    </xf>
    <xf numFmtId="166" fontId="8" fillId="0" borderId="0" xfId="17" applyFont="true" applyBorder="true" applyAlignment="true" applyProtection="true">
      <alignment horizontal="center" vertical="bottom" textRotation="0" wrapText="false" indent="0" shrinkToFit="false"/>
      <protection locked="true" hidden="false"/>
    </xf>
    <xf numFmtId="164" fontId="8" fillId="0" borderId="0" xfId="0" applyFont="true" applyBorder="false" applyAlignment="true" applyProtection="false">
      <alignment horizontal="center" vertical="bottom" textRotation="0" wrapText="false" indent="0" shrinkToFit="false"/>
      <protection locked="true" hidden="false"/>
    </xf>
    <xf numFmtId="196" fontId="8" fillId="0" borderId="0" xfId="17" applyFont="true" applyBorder="true" applyAlignment="true" applyProtection="true">
      <alignment horizontal="center"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true" indent="0" shrinkToFit="false"/>
      <protection locked="true" hidden="false"/>
    </xf>
    <xf numFmtId="170" fontId="8" fillId="0" borderId="0" xfId="15" applyFont="true" applyBorder="true" applyAlignment="true" applyProtection="true">
      <alignment horizontal="general" vertical="top" textRotation="0" wrapText="true" indent="0" shrinkToFit="false"/>
      <protection locked="true" hidden="false"/>
    </xf>
    <xf numFmtId="197" fontId="8" fillId="0" borderId="0" xfId="17" applyFont="true" applyBorder="true" applyAlignment="true" applyProtection="true">
      <alignment horizontal="general" vertical="top" textRotation="0" wrapText="true" indent="0" shrinkToFit="false"/>
      <protection locked="true" hidden="false"/>
    </xf>
    <xf numFmtId="166" fontId="8" fillId="0" borderId="0" xfId="17" applyFont="true" applyBorder="true" applyAlignment="true" applyProtection="true">
      <alignment horizontal="general" vertical="top" textRotation="0" wrapText="true" indent="0" shrinkToFit="false"/>
      <protection locked="true" hidden="false"/>
    </xf>
    <xf numFmtId="198" fontId="8" fillId="0" borderId="0" xfId="0" applyFont="true" applyBorder="false" applyAlignment="true" applyProtection="false">
      <alignment horizontal="general" vertical="top" textRotation="0" wrapText="true" indent="0" shrinkToFit="false"/>
      <protection locked="true" hidden="false"/>
    </xf>
    <xf numFmtId="164" fontId="8" fillId="0" borderId="0" xfId="0" applyFont="true" applyBorder="false" applyAlignment="true" applyProtection="false">
      <alignment horizontal="center" vertical="bottom" textRotation="0" wrapText="true" indent="0" shrinkToFit="false"/>
      <protection locked="true" hidden="false"/>
    </xf>
    <xf numFmtId="170" fontId="8" fillId="0" borderId="1" xfId="15" applyFont="true" applyBorder="true" applyAlignment="true" applyProtection="true">
      <alignment horizontal="general" vertical="top" textRotation="0" wrapText="true" indent="0" shrinkToFit="false"/>
      <protection locked="true" hidden="false"/>
    </xf>
    <xf numFmtId="170" fontId="8" fillId="0" borderId="2" xfId="15" applyFont="true" applyBorder="true" applyAlignment="true" applyProtection="true">
      <alignment horizontal="right"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right" vertical="bottom" textRotation="0" wrapText="tru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8" fillId="0" borderId="0" xfId="0" applyFont="true" applyBorder="false" applyAlignment="true" applyProtection="false">
      <alignment horizontal="general" vertical="bottom" textRotation="0" wrapText="true" indent="0" shrinkToFit="false"/>
      <protection locked="true" hidden="false"/>
    </xf>
    <xf numFmtId="164" fontId="8" fillId="0" borderId="0" xfId="0" applyFont="true" applyBorder="true" applyAlignment="true" applyProtection="false">
      <alignment horizontal="center" vertical="bottom" textRotation="0" wrapText="true" indent="0" shrinkToFit="false"/>
      <protection locked="true" hidden="false"/>
    </xf>
    <xf numFmtId="197" fontId="8" fillId="0" borderId="0" xfId="17" applyFont="true" applyBorder="true" applyAlignment="true" applyProtection="true">
      <alignment horizontal="center" vertical="bottom" textRotation="0" wrapText="true" indent="0" shrinkToFit="false"/>
      <protection locked="true" hidden="false"/>
    </xf>
    <xf numFmtId="170" fontId="8" fillId="0" borderId="0" xfId="15" applyFont="true" applyBorder="true" applyAlignment="true" applyProtection="true">
      <alignment horizontal="center" vertical="bottom" textRotation="0" wrapText="true" indent="0" shrinkToFit="false"/>
      <protection locked="true" hidden="false"/>
    </xf>
    <xf numFmtId="181" fontId="8" fillId="0" borderId="0" xfId="0" applyFont="true" applyBorder="true" applyAlignment="true" applyProtection="false">
      <alignment horizontal="center" vertical="bottom" textRotation="0" wrapText="true" indent="0" shrinkToFit="false"/>
      <protection locked="true" hidden="false"/>
    </xf>
    <xf numFmtId="166" fontId="8" fillId="0" borderId="0" xfId="17" applyFont="true" applyBorder="true" applyAlignment="true" applyProtection="true">
      <alignment horizontal="general" vertical="bottom" textRotation="0" wrapText="false" indent="0" shrinkToFit="false"/>
      <protection locked="true" hidden="false"/>
    </xf>
    <xf numFmtId="197" fontId="8" fillId="0" borderId="0" xfId="17" applyFont="true" applyBorder="true" applyAlignment="true" applyProtection="true">
      <alignment horizontal="general" vertical="bottom" textRotation="0" wrapText="false" indent="0" shrinkToFit="false"/>
      <protection locked="true" hidden="false"/>
    </xf>
    <xf numFmtId="164" fontId="8" fillId="0" borderId="0" xfId="0" applyFont="true" applyBorder="true" applyAlignment="true" applyProtection="false">
      <alignment horizontal="general" vertical="top" textRotation="0" wrapText="true" indent="0" shrinkToFit="false"/>
      <protection locked="true" hidden="false"/>
    </xf>
    <xf numFmtId="170" fontId="8" fillId="0" borderId="0" xfId="15" applyFont="true" applyBorder="true" applyAlignment="true" applyProtection="true">
      <alignment horizontal="right" vertical="top" textRotation="0" wrapText="true" indent="0" shrinkToFit="false"/>
      <protection locked="true" hidden="false"/>
    </xf>
    <xf numFmtId="170" fontId="8" fillId="0" borderId="0" xfId="15" applyFont="true" applyBorder="true" applyAlignment="true" applyProtection="true">
      <alignment horizontal="left" vertical="top" textRotation="0" wrapText="true" indent="0" shrinkToFit="false"/>
      <protection locked="true" hidden="false"/>
    </xf>
    <xf numFmtId="164" fontId="9" fillId="0" borderId="1"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bottom" textRotation="0" wrapText="true" indent="0" shrinkToFit="false"/>
      <protection locked="true" hidden="false"/>
    </xf>
    <xf numFmtId="199" fontId="10" fillId="0" borderId="1" xfId="0" applyFont="true" applyBorder="true" applyAlignment="true" applyProtection="false">
      <alignment horizontal="center" vertical="bottom" textRotation="0" wrapText="true" indent="0" shrinkToFit="false"/>
      <protection locked="true" hidden="false"/>
    </xf>
    <xf numFmtId="167" fontId="0" fillId="0" borderId="0" xfId="15" applyFont="true" applyBorder="true" applyAlignment="true" applyProtection="true">
      <alignment horizontal="general" vertical="bottom" textRotation="0" wrapText="false" indent="0" shrinkToFit="false"/>
      <protection locked="true" hidden="false"/>
    </xf>
    <xf numFmtId="164" fontId="10" fillId="0" borderId="1" xfId="0" applyFont="true" applyBorder="true" applyAlignment="true" applyProtection="false">
      <alignment horizontal="center" vertical="top" textRotation="0" wrapText="true" indent="0" shrinkToFit="false"/>
      <protection locked="true" hidden="false"/>
    </xf>
    <xf numFmtId="165" fontId="0" fillId="0" borderId="6" xfId="0" applyFont="fals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2:H3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9.28"/>
    <col collapsed="false" customWidth="true" hidden="false" outlineLevel="0" max="8" min="8" style="0" width="15.28"/>
  </cols>
  <sheetData>
    <row r="2" customFormat="false" ht="12.75" hidden="false" customHeight="false" outlineLevel="0" collapsed="false">
      <c r="B2" s="1" t="s">
        <v>0</v>
      </c>
    </row>
    <row r="3" customFormat="false" ht="12.75" hidden="false" customHeight="false" outlineLevel="0" collapsed="false">
      <c r="B3" s="1" t="s">
        <v>1</v>
      </c>
    </row>
    <row r="4" customFormat="false" ht="12.75" hidden="false" customHeight="false" outlineLevel="0" collapsed="false">
      <c r="B4" s="1" t="s">
        <v>2</v>
      </c>
    </row>
    <row r="5" customFormat="false" ht="12.75" hidden="false" customHeight="false" outlineLevel="0" collapsed="false">
      <c r="B5" s="1" t="s">
        <v>3</v>
      </c>
    </row>
    <row r="6" customFormat="false" ht="12.75" hidden="false" customHeight="false" outlineLevel="0" collapsed="false">
      <c r="B6" s="1"/>
    </row>
    <row r="7" customFormat="false" ht="12.75" hidden="false" customHeight="false" outlineLevel="0" collapsed="false">
      <c r="B7" s="1"/>
    </row>
    <row r="8" customFormat="false" ht="12.75" hidden="false" customHeight="false" outlineLevel="0" collapsed="false">
      <c r="B8" s="1" t="s">
        <v>4</v>
      </c>
      <c r="H8" s="2" t="n">
        <f aca="false">IF(('1st Cargo Input'!J6&gt;40000),('1st Cargo Input'!J6-40000)*'Adjustment Factor'!L9,0)</f>
        <v>0</v>
      </c>
    </row>
    <row r="9" customFormat="false" ht="12.75" hidden="false" customHeight="false" outlineLevel="0" collapsed="false">
      <c r="B9" s="1"/>
      <c r="H9" s="3"/>
    </row>
    <row r="10" customFormat="false" ht="12.75" hidden="false" customHeight="false" outlineLevel="0" collapsed="false">
      <c r="B10" s="1" t="s">
        <v>5</v>
      </c>
      <c r="H10" s="2" t="n">
        <f aca="false">IF(('1st Cargo Input'!J8&gt;50000),(50000*'Adjustment Factor'!L9*-1),('1st Cargo Input'!J8*'Adjustment Factor'!L9*-1))</f>
        <v>-0</v>
      </c>
    </row>
    <row r="11" customFormat="false" ht="12.75" hidden="false" customHeight="false" outlineLevel="0" collapsed="false">
      <c r="B11" s="1"/>
      <c r="H11" s="3"/>
    </row>
    <row r="12" customFormat="false" ht="12.75" hidden="false" customHeight="false" outlineLevel="0" collapsed="false">
      <c r="B12" s="1" t="s">
        <v>6</v>
      </c>
      <c r="H12" s="4" t="n">
        <f aca="false">IF(AND('1st Cargo Input'!J11="Y",'1st Cargo Input'!J13="Y"),"ERROR",IF(AND('1st Cargo Input'!J11="N",'1st Cargo Input'!J13="N",'1st Cargo Input'!J15&gt;0),"ERROR",IF(AND(Demurrage!I4="Not Applicable",Demurrage!I6="Not Applicable"),"Not Applicable",IF(AND(Demurrage!I4="Not Applicable"),Demurrage!I6,IF(AND(Demurrage!I6="Not Applicable"),Demurrage!I4,"Not Applicable")))))</f>
        <v>451951.642335766</v>
      </c>
    </row>
    <row r="13" customFormat="false" ht="12.75" hidden="false" customHeight="false" outlineLevel="0" collapsed="false">
      <c r="B13" s="1"/>
      <c r="H13" s="5"/>
    </row>
    <row r="14" customFormat="false" ht="12.75" hidden="false" customHeight="false" outlineLevel="0" collapsed="false">
      <c r="B14" s="1" t="s">
        <v>7</v>
      </c>
      <c r="H14" s="4" t="n">
        <f aca="false">IF('1st Cargo Input'!J22="Y",('1st Cargo Input'!J18*'1st Cargo Input'!J20*('Commodity Charge'!F18+'Commodity Charge'!F31)),('1st Cargo Input'!J18*'1st Cargo Input'!J20*'Commodity Charge'!F18))</f>
        <v>52246.4943430657</v>
      </c>
    </row>
    <row r="15" customFormat="false" ht="17.25" hidden="false" customHeight="true" outlineLevel="0" collapsed="false">
      <c r="B15" s="1" t="s">
        <v>8</v>
      </c>
      <c r="H15" s="3"/>
    </row>
    <row r="16" customFormat="false" ht="17.25" hidden="false" customHeight="true" outlineLevel="0" collapsed="false">
      <c r="C16" s="6" t="s">
        <v>9</v>
      </c>
      <c r="H16" s="7" t="n">
        <f aca="false">'Estimated Monthly Demand Charge'!B6</f>
        <v>1724465.64353102</v>
      </c>
    </row>
    <row r="17" customFormat="false" ht="15" hidden="false" customHeight="true" outlineLevel="0" collapsed="false">
      <c r="C17" s="0" t="s">
        <v>10</v>
      </c>
      <c r="H17" s="8" t="n">
        <f aca="false">'Estimated Monthly Demand Charge'!D6</f>
        <v>190294.915001521</v>
      </c>
    </row>
    <row r="18" customFormat="false" ht="12.75" hidden="false" customHeight="false" outlineLevel="0" collapsed="false">
      <c r="E18" s="9" t="s">
        <v>11</v>
      </c>
      <c r="F18" s="9"/>
      <c r="G18" s="10"/>
      <c r="H18" s="11" t="n">
        <f aca="false">SUM(H16:H17)</f>
        <v>1914760.55853254</v>
      </c>
    </row>
    <row r="19" customFormat="false" ht="12.75" hidden="false" customHeight="false" outlineLevel="0" collapsed="false">
      <c r="B19" s="1" t="s">
        <v>12</v>
      </c>
      <c r="H19" s="12"/>
    </row>
    <row r="20" customFormat="false" ht="12.75" hidden="false" customHeight="false" outlineLevel="0" collapsed="false">
      <c r="C20" s="13" t="s">
        <v>13</v>
      </c>
      <c r="H20" s="14" t="n">
        <f aca="false">'Commodity Charge'!F7</f>
        <v>9600578.9497074</v>
      </c>
    </row>
    <row r="21" customFormat="false" ht="12.75" hidden="false" customHeight="false" outlineLevel="0" collapsed="false">
      <c r="C21" s="0" t="s">
        <v>14</v>
      </c>
      <c r="H21" s="15" t="n">
        <f aca="false">H18+H20</f>
        <v>11515339.5082399</v>
      </c>
    </row>
    <row r="22" customFormat="false" ht="12.75" hidden="false" customHeight="false" outlineLevel="0" collapsed="false">
      <c r="H22" s="3"/>
    </row>
    <row r="23" customFormat="false" ht="12.75" hidden="false" customHeight="false" outlineLevel="0" collapsed="false">
      <c r="B23" s="1" t="s">
        <v>15</v>
      </c>
      <c r="H23" s="16" t="n">
        <f aca="false">'Annual Adjustment'!F57</f>
        <v>1000</v>
      </c>
    </row>
    <row r="24" customFormat="false" ht="21" hidden="false" customHeight="true" outlineLevel="0" collapsed="false">
      <c r="B24" s="1" t="s">
        <v>16</v>
      </c>
      <c r="H24" s="17" t="n">
        <f aca="false">H8+H10+H12+H14+H21+H23</f>
        <v>12020537.6449188</v>
      </c>
    </row>
    <row r="25" customFormat="false" ht="13.5" hidden="false" customHeight="false" outlineLevel="0" collapsed="false"/>
    <row r="30" customFormat="false" ht="12.75" hidden="false" customHeight="false" outlineLevel="0" collapsed="false">
      <c r="B30" s="18"/>
    </row>
  </sheetData>
  <mergeCells count="1">
    <mergeCell ref="E18:F18"/>
  </mergeCells>
  <printOptions headings="true" gridLines="false" gridLinesSet="true" horizontalCentered="false" verticalCentered="false"/>
  <pageMargins left="1.29027777777778" right="1.29027777777778" top="0.902083333333333" bottom="0.509722222222222" header="0.859722222222222" footer="0.5"/>
  <pageSetup paperSize="1" scale="100" fitToWidth="1" fitToHeight="1" pageOrder="downThenOver" orientation="portrait" blackAndWhite="false" draft="false" cellComments="none" horizontalDpi="300" verticalDpi="300" copies="1"/>
  <headerFooter differentFirst="false" differentOddEven="false">
    <oddHeader/>
    <oddFooter>&amp;LLNG Sales Contract
&amp;D
&amp;T&amp;CSummary Sheet&amp;R&amp;P of &amp;N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K60"/>
  <sheetViews>
    <sheetView showFormulas="false" showGridLines="true" showRowColHeaders="true" showZeros="true" rightToLeft="false" tabSelected="false" showOutlineSymbols="true" defaultGridColor="true" view="normal" topLeftCell="A39" colorId="64" zoomScale="100" zoomScaleNormal="100" zoomScalePageLayoutView="100" workbookViewId="0">
      <selection pane="topLeft" activeCell="O10" activeCellId="0" sqref="O10"/>
    </sheetView>
  </sheetViews>
  <sheetFormatPr defaultColWidth="9.0546875" defaultRowHeight="12.75" customHeight="true" zeroHeight="false" outlineLevelRow="0" outlineLevelCol="0"/>
  <cols>
    <col collapsed="false" customWidth="true" hidden="false" outlineLevel="0" max="1" min="1" style="0" width="10.13"/>
    <col collapsed="false" customWidth="true" hidden="false" outlineLevel="0" max="2" min="2" style="0" width="9.7"/>
    <col collapsed="false" customWidth="true" hidden="false" outlineLevel="0" max="3" min="3" style="0" width="13.56"/>
    <col collapsed="false" customWidth="true" hidden="false" outlineLevel="0" max="4" min="4" style="0" width="4.7"/>
    <col collapsed="false" customWidth="true" hidden="false" outlineLevel="0" max="5" min="5" style="0" width="9.85"/>
    <col collapsed="false" customWidth="true" hidden="false" outlineLevel="0" max="6" min="6" style="0" width="6.56"/>
    <col collapsed="false" customWidth="true" hidden="false" outlineLevel="0" max="7" min="7" style="0" width="8.7"/>
    <col collapsed="false" customWidth="true" hidden="false" outlineLevel="0" max="8" min="8" style="0" width="5.85"/>
    <col collapsed="false" customWidth="true" hidden="false" outlineLevel="0" max="9" min="9" style="0" width="11.99"/>
  </cols>
  <sheetData>
    <row r="2" customFormat="false" ht="12.75" hidden="false" customHeight="false" outlineLevel="0" collapsed="false">
      <c r="A2" s="1" t="s">
        <v>215</v>
      </c>
    </row>
    <row r="3" customFormat="false" ht="12.75" hidden="false" customHeight="true" outlineLevel="0" collapsed="false">
      <c r="E3" s="156" t="s">
        <v>24</v>
      </c>
      <c r="F3" s="156"/>
      <c r="G3" s="156"/>
    </row>
    <row r="4" customFormat="false" ht="34.5" hidden="false" customHeight="true" outlineLevel="0" collapsed="false">
      <c r="A4" s="50" t="s">
        <v>216</v>
      </c>
      <c r="B4" s="178" t="s">
        <v>217</v>
      </c>
      <c r="C4" s="50" t="s">
        <v>218</v>
      </c>
      <c r="D4" s="144" t="s">
        <v>177</v>
      </c>
      <c r="E4" s="50" t="s">
        <v>87</v>
      </c>
      <c r="F4" s="178" t="s">
        <v>161</v>
      </c>
      <c r="G4" s="50" t="s">
        <v>219</v>
      </c>
      <c r="H4" s="114" t="s">
        <v>69</v>
      </c>
      <c r="I4" s="179" t="s">
        <v>220</v>
      </c>
    </row>
    <row r="5" customFormat="false" ht="12.75" hidden="false" customHeight="false" outlineLevel="0" collapsed="false">
      <c r="A5" s="79" t="n">
        <v>1</v>
      </c>
      <c r="B5" s="180" t="n">
        <f aca="false">'1st Cargo Input'!H31</f>
        <v>36647</v>
      </c>
      <c r="C5" s="181" t="n">
        <v>0.02</v>
      </c>
      <c r="D5" s="181"/>
      <c r="E5" s="122" t="n">
        <f aca="false">'1st Cargo Input'!J31</f>
        <v>0.575</v>
      </c>
      <c r="F5" s="122"/>
      <c r="G5" s="181" t="n">
        <v>0.32</v>
      </c>
      <c r="I5" s="122" t="n">
        <f aca="false">IF(C5=0,0,C5*E5/G5)</f>
        <v>0.0359375</v>
      </c>
    </row>
    <row r="6" customFormat="false" ht="12.75" hidden="false" customHeight="false" outlineLevel="0" collapsed="false">
      <c r="A6" s="79" t="n">
        <v>2</v>
      </c>
      <c r="B6" s="180" t="n">
        <f aca="false">'1st Cargo Input'!H32</f>
        <v>36648</v>
      </c>
      <c r="C6" s="181" t="n">
        <v>0.02</v>
      </c>
      <c r="D6" s="181"/>
      <c r="E6" s="122" t="n">
        <f aca="false">'1st Cargo Input'!J32</f>
        <v>0.575</v>
      </c>
      <c r="F6" s="122"/>
      <c r="G6" s="181" t="n">
        <v>0.32</v>
      </c>
      <c r="I6" s="122" t="n">
        <f aca="false">IF(C6=0,0,C6*E6/G6)</f>
        <v>0.0359375</v>
      </c>
    </row>
    <row r="7" customFormat="false" ht="12.75" hidden="false" customHeight="false" outlineLevel="0" collapsed="false">
      <c r="A7" s="79" t="n">
        <v>3</v>
      </c>
      <c r="B7" s="180" t="n">
        <f aca="false">'1st Cargo Input'!H33</f>
        <v>0</v>
      </c>
      <c r="C7" s="181" t="n">
        <v>0.02</v>
      </c>
      <c r="D7" s="181"/>
      <c r="E7" s="122" t="n">
        <f aca="false">'1st Cargo Input'!J33</f>
        <v>0</v>
      </c>
      <c r="F7" s="122"/>
      <c r="G7" s="181" t="n">
        <v>0.32</v>
      </c>
      <c r="I7" s="122" t="n">
        <f aca="false">IF(C7=0,0,C7*E7/G7)</f>
        <v>0</v>
      </c>
    </row>
    <row r="8" customFormat="false" ht="12.75" hidden="false" customHeight="false" outlineLevel="0" collapsed="false">
      <c r="A8" s="79" t="n">
        <v>4</v>
      </c>
      <c r="B8" s="180" t="n">
        <f aca="false">'1st Cargo Input'!H34</f>
        <v>0</v>
      </c>
      <c r="C8" s="181" t="n">
        <v>0.02</v>
      </c>
      <c r="D8" s="181"/>
      <c r="E8" s="122" t="n">
        <f aca="false">'1st Cargo Input'!J34</f>
        <v>0</v>
      </c>
      <c r="F8" s="122"/>
      <c r="G8" s="181" t="n">
        <v>0.32</v>
      </c>
      <c r="I8" s="122" t="n">
        <f aca="false">IF(C8=0,0,C8*E8/G8)</f>
        <v>0</v>
      </c>
    </row>
    <row r="9" customFormat="false" ht="12.75" hidden="false" customHeight="false" outlineLevel="0" collapsed="false">
      <c r="A9" s="79" t="n">
        <v>5</v>
      </c>
      <c r="B9" s="180" t="n">
        <f aca="false">'1st Cargo Input'!H35</f>
        <v>0</v>
      </c>
      <c r="C9" s="181" t="n">
        <v>0.02</v>
      </c>
      <c r="D9" s="181"/>
      <c r="E9" s="122" t="n">
        <f aca="false">'1st Cargo Input'!J35</f>
        <v>0</v>
      </c>
      <c r="F9" s="122"/>
      <c r="G9" s="181" t="n">
        <v>0.32</v>
      </c>
      <c r="I9" s="122" t="n">
        <f aca="false">IF(C9=0,0,C9*E9/G9)</f>
        <v>0</v>
      </c>
    </row>
    <row r="10" customFormat="false" ht="12.75" hidden="false" customHeight="false" outlineLevel="0" collapsed="false">
      <c r="A10" s="79" t="n">
        <v>6</v>
      </c>
      <c r="B10" s="180" t="n">
        <f aca="false">'1st Cargo Input'!H36</f>
        <v>0</v>
      </c>
      <c r="C10" s="181" t="n">
        <v>0.02</v>
      </c>
      <c r="D10" s="181"/>
      <c r="E10" s="122" t="n">
        <f aca="false">'1st Cargo Input'!J36</f>
        <v>0</v>
      </c>
      <c r="F10" s="122"/>
      <c r="G10" s="181" t="n">
        <v>0.32</v>
      </c>
      <c r="I10" s="122" t="n">
        <f aca="false">IF(C10=0,0,C10*E10/G10)</f>
        <v>0</v>
      </c>
    </row>
    <row r="11" customFormat="false" ht="12.75" hidden="false" customHeight="false" outlineLevel="0" collapsed="false">
      <c r="A11" s="79" t="n">
        <v>7</v>
      </c>
      <c r="B11" s="180" t="n">
        <f aca="false">'1st Cargo Input'!H37</f>
        <v>0</v>
      </c>
      <c r="C11" s="181" t="n">
        <v>0.02</v>
      </c>
      <c r="D11" s="181"/>
      <c r="E11" s="122" t="n">
        <f aca="false">'1st Cargo Input'!J37</f>
        <v>0</v>
      </c>
      <c r="F11" s="122"/>
      <c r="G11" s="181" t="n">
        <v>0.32</v>
      </c>
      <c r="I11" s="122" t="n">
        <f aca="false">IF(C11=0,0,C11*E11/G11)</f>
        <v>0</v>
      </c>
    </row>
    <row r="12" customFormat="false" ht="12.75" hidden="false" customHeight="false" outlineLevel="0" collapsed="false">
      <c r="A12" s="79" t="n">
        <v>8</v>
      </c>
      <c r="B12" s="180" t="n">
        <f aca="false">'1st Cargo Input'!H38</f>
        <v>0</v>
      </c>
      <c r="C12" s="181" t="n">
        <v>0.02</v>
      </c>
      <c r="D12" s="181"/>
      <c r="E12" s="122" t="n">
        <f aca="false">'1st Cargo Input'!J38</f>
        <v>0</v>
      </c>
      <c r="F12" s="122"/>
      <c r="G12" s="181" t="n">
        <v>0.32</v>
      </c>
      <c r="I12" s="122" t="n">
        <f aca="false">IF(C12=0,0,C12*E12/G12)</f>
        <v>0</v>
      </c>
    </row>
    <row r="13" customFormat="false" ht="12.75" hidden="false" customHeight="false" outlineLevel="0" collapsed="false">
      <c r="A13" s="79" t="n">
        <v>9</v>
      </c>
      <c r="B13" s="180" t="n">
        <f aca="false">'1st Cargo Input'!H39</f>
        <v>0</v>
      </c>
      <c r="C13" s="181" t="n">
        <v>0.02</v>
      </c>
      <c r="D13" s="181"/>
      <c r="E13" s="122" t="n">
        <f aca="false">'1st Cargo Input'!J39</f>
        <v>0</v>
      </c>
      <c r="F13" s="122"/>
      <c r="G13" s="181" t="n">
        <v>0.32</v>
      </c>
      <c r="I13" s="122" t="n">
        <f aca="false">IF(C13=0,0,C13*E13/G13)</f>
        <v>0</v>
      </c>
    </row>
    <row r="14" customFormat="false" ht="12.75" hidden="false" customHeight="false" outlineLevel="0" collapsed="false">
      <c r="A14" s="79" t="n">
        <v>10</v>
      </c>
      <c r="B14" s="180" t="n">
        <f aca="false">'1st Cargo Input'!H40</f>
        <v>0</v>
      </c>
      <c r="C14" s="181" t="n">
        <v>0.02</v>
      </c>
      <c r="D14" s="181"/>
      <c r="E14" s="122" t="n">
        <f aca="false">'1st Cargo Input'!J40</f>
        <v>0</v>
      </c>
      <c r="F14" s="122"/>
      <c r="G14" s="181" t="n">
        <v>0.32</v>
      </c>
      <c r="I14" s="122" t="n">
        <f aca="false">IF(C14=0,0,C14*E14/G14)</f>
        <v>0</v>
      </c>
    </row>
    <row r="15" customFormat="false" ht="12.75" hidden="false" customHeight="false" outlineLevel="0" collapsed="false">
      <c r="A15" s="79" t="n">
        <v>11</v>
      </c>
      <c r="B15" s="180" t="n">
        <f aca="false">'1st Cargo Input'!H41</f>
        <v>0</v>
      </c>
      <c r="C15" s="181" t="n">
        <v>0.02</v>
      </c>
      <c r="D15" s="181"/>
      <c r="E15" s="122" t="n">
        <f aca="false">'1st Cargo Input'!J41</f>
        <v>0</v>
      </c>
      <c r="F15" s="122"/>
      <c r="G15" s="181" t="n">
        <v>0.32</v>
      </c>
      <c r="I15" s="122" t="n">
        <f aca="false">IF(C15=0,0,C15*E15/G15)</f>
        <v>0</v>
      </c>
    </row>
    <row r="16" customFormat="false" ht="12.75" hidden="false" customHeight="false" outlineLevel="0" collapsed="false">
      <c r="A16" s="79" t="n">
        <v>12</v>
      </c>
      <c r="B16" s="180" t="n">
        <f aca="false">'1st Cargo Input'!H42</f>
        <v>0</v>
      </c>
      <c r="C16" s="181" t="n">
        <v>0.02</v>
      </c>
      <c r="D16" s="181"/>
      <c r="E16" s="122" t="n">
        <f aca="false">'1st Cargo Input'!J42</f>
        <v>0</v>
      </c>
      <c r="F16" s="122"/>
      <c r="G16" s="181" t="n">
        <v>0.32</v>
      </c>
      <c r="I16" s="122" t="n">
        <f aca="false">IF(C16=0,0,C16*E16/G16)</f>
        <v>0</v>
      </c>
    </row>
    <row r="17" customFormat="false" ht="12.75" hidden="false" customHeight="false" outlineLevel="0" collapsed="false">
      <c r="A17" s="79" t="n">
        <v>13</v>
      </c>
      <c r="B17" s="180" t="n">
        <f aca="false">'1st Cargo Input'!H43</f>
        <v>0</v>
      </c>
      <c r="C17" s="181" t="n">
        <v>0.02</v>
      </c>
      <c r="D17" s="181"/>
      <c r="E17" s="122" t="n">
        <f aca="false">'1st Cargo Input'!J43</f>
        <v>0</v>
      </c>
      <c r="F17" s="122"/>
      <c r="G17" s="181" t="n">
        <v>0.32</v>
      </c>
      <c r="I17" s="122" t="n">
        <f aca="false">IF(C17=0,0,C17*E17/G17)</f>
        <v>0</v>
      </c>
    </row>
    <row r="18" customFormat="false" ht="12.75" hidden="false" customHeight="false" outlineLevel="0" collapsed="false">
      <c r="A18" s="79" t="n">
        <v>14</v>
      </c>
      <c r="B18" s="180" t="n">
        <f aca="false">'1st Cargo Input'!H44</f>
        <v>0</v>
      </c>
      <c r="C18" s="181" t="n">
        <v>0.02</v>
      </c>
      <c r="D18" s="181"/>
      <c r="E18" s="122" t="n">
        <f aca="false">'1st Cargo Input'!J44</f>
        <v>0</v>
      </c>
      <c r="F18" s="122"/>
      <c r="G18" s="181" t="n">
        <v>0.32</v>
      </c>
      <c r="I18" s="122" t="n">
        <f aca="false">IF(C18=0,0,C18*E18/G18)</f>
        <v>0</v>
      </c>
    </row>
    <row r="19" customFormat="false" ht="12.75" hidden="false" customHeight="false" outlineLevel="0" collapsed="false">
      <c r="A19" s="79" t="n">
        <v>15</v>
      </c>
      <c r="B19" s="180" t="n">
        <f aca="false">'1st Cargo Input'!H45</f>
        <v>0</v>
      </c>
      <c r="C19" s="181" t="n">
        <v>0.02</v>
      </c>
      <c r="D19" s="181"/>
      <c r="E19" s="122" t="n">
        <f aca="false">'1st Cargo Input'!J45</f>
        <v>0</v>
      </c>
      <c r="F19" s="122"/>
      <c r="G19" s="181" t="n">
        <v>0.32</v>
      </c>
      <c r="I19" s="122" t="n">
        <f aca="false">IF(C19=0,0,C19*E19/G19)</f>
        <v>0</v>
      </c>
    </row>
    <row r="20" customFormat="false" ht="12.75" hidden="false" customHeight="false" outlineLevel="0" collapsed="false">
      <c r="A20" s="79" t="n">
        <v>16</v>
      </c>
      <c r="B20" s="180" t="n">
        <f aca="false">'1st Cargo Input'!H46</f>
        <v>0</v>
      </c>
      <c r="C20" s="181" t="n">
        <v>0.02</v>
      </c>
      <c r="D20" s="181"/>
      <c r="E20" s="122" t="n">
        <f aca="false">'1st Cargo Input'!J46</f>
        <v>0</v>
      </c>
      <c r="F20" s="122"/>
      <c r="G20" s="181" t="n">
        <v>0.32</v>
      </c>
      <c r="I20" s="122" t="n">
        <f aca="false">IF(C20=0,0,C20*E20/G20)</f>
        <v>0</v>
      </c>
    </row>
    <row r="21" customFormat="false" ht="12.75" hidden="false" customHeight="false" outlineLevel="0" collapsed="false">
      <c r="A21" s="79" t="n">
        <v>17</v>
      </c>
      <c r="B21" s="180" t="n">
        <f aca="false">'1st Cargo Input'!H47</f>
        <v>0</v>
      </c>
      <c r="C21" s="181" t="n">
        <v>0.02</v>
      </c>
      <c r="D21" s="181"/>
      <c r="E21" s="122" t="n">
        <f aca="false">'1st Cargo Input'!J47</f>
        <v>0</v>
      </c>
      <c r="F21" s="122"/>
      <c r="G21" s="181" t="n">
        <v>0.32</v>
      </c>
      <c r="I21" s="122" t="n">
        <f aca="false">IF(C21=0,0,C21*E21/G21)</f>
        <v>0</v>
      </c>
    </row>
    <row r="22" customFormat="false" ht="12.75" hidden="false" customHeight="false" outlineLevel="0" collapsed="false">
      <c r="A22" s="79" t="n">
        <v>18</v>
      </c>
      <c r="B22" s="180" t="n">
        <f aca="false">'1st Cargo Input'!H48</f>
        <v>0</v>
      </c>
      <c r="C22" s="181" t="n">
        <v>0.02</v>
      </c>
      <c r="D22" s="181"/>
      <c r="E22" s="122" t="n">
        <f aca="false">'1st Cargo Input'!J48</f>
        <v>0</v>
      </c>
      <c r="F22" s="122"/>
      <c r="G22" s="181" t="n">
        <v>0.32</v>
      </c>
      <c r="I22" s="122" t="n">
        <f aca="false">IF(C22=0,0,C22*E22/G22)</f>
        <v>0</v>
      </c>
    </row>
    <row r="23" customFormat="false" ht="12.75" hidden="false" customHeight="false" outlineLevel="0" collapsed="false">
      <c r="A23" s="79" t="n">
        <v>19</v>
      </c>
      <c r="B23" s="180" t="n">
        <f aca="false">'1st Cargo Input'!H49</f>
        <v>0</v>
      </c>
      <c r="C23" s="181" t="n">
        <v>0.02</v>
      </c>
      <c r="D23" s="181"/>
      <c r="E23" s="122" t="n">
        <f aca="false">'1st Cargo Input'!J49</f>
        <v>0</v>
      </c>
      <c r="F23" s="122"/>
      <c r="G23" s="181" t="n">
        <v>0.32</v>
      </c>
      <c r="I23" s="122" t="n">
        <f aca="false">IF(C23=0,0,C23*E23/G23)</f>
        <v>0</v>
      </c>
    </row>
    <row r="24" customFormat="false" ht="12.75" hidden="false" customHeight="false" outlineLevel="0" collapsed="false">
      <c r="A24" s="79" t="n">
        <v>20</v>
      </c>
      <c r="B24" s="180" t="n">
        <f aca="false">'1st Cargo Input'!H50</f>
        <v>0</v>
      </c>
      <c r="C24" s="181" t="n">
        <v>0.02</v>
      </c>
      <c r="D24" s="181"/>
      <c r="E24" s="122" t="n">
        <f aca="false">'1st Cargo Input'!J50</f>
        <v>0</v>
      </c>
      <c r="F24" s="122"/>
      <c r="G24" s="181" t="n">
        <v>0.32</v>
      </c>
      <c r="I24" s="122" t="n">
        <f aca="false">IF(C24=0,0,C24*E24/G24)</f>
        <v>0</v>
      </c>
    </row>
    <row r="25" customFormat="false" ht="12.75" hidden="false" customHeight="false" outlineLevel="0" collapsed="false">
      <c r="A25" s="79" t="n">
        <v>21</v>
      </c>
      <c r="B25" s="180" t="n">
        <f aca="false">'1st Cargo Input'!H51</f>
        <v>0</v>
      </c>
      <c r="C25" s="181" t="n">
        <v>0.02</v>
      </c>
      <c r="D25" s="181"/>
      <c r="E25" s="122" t="n">
        <f aca="false">'1st Cargo Input'!J51</f>
        <v>0</v>
      </c>
      <c r="F25" s="122"/>
      <c r="G25" s="181" t="n">
        <v>0.32</v>
      </c>
      <c r="I25" s="122" t="n">
        <f aca="false">IF(C25=0,0,C25*E25/G25)</f>
        <v>0</v>
      </c>
    </row>
    <row r="26" customFormat="false" ht="12.75" hidden="false" customHeight="false" outlineLevel="0" collapsed="false">
      <c r="A26" s="79" t="n">
        <v>22</v>
      </c>
      <c r="B26" s="180" t="n">
        <f aca="false">'1st Cargo Input'!H52</f>
        <v>0</v>
      </c>
      <c r="C26" s="181" t="n">
        <v>0.02</v>
      </c>
      <c r="D26" s="181"/>
      <c r="E26" s="122" t="n">
        <f aca="false">'1st Cargo Input'!J52</f>
        <v>0</v>
      </c>
      <c r="F26" s="122"/>
      <c r="G26" s="181" t="n">
        <v>0.32</v>
      </c>
      <c r="I26" s="122" t="n">
        <f aca="false">IF(C26=0,0,C26*E26/G26)</f>
        <v>0</v>
      </c>
    </row>
    <row r="27" customFormat="false" ht="12.75" hidden="false" customHeight="false" outlineLevel="0" collapsed="false">
      <c r="A27" s="79" t="n">
        <v>23</v>
      </c>
      <c r="B27" s="180" t="n">
        <f aca="false">'1st Cargo Input'!H53</f>
        <v>0</v>
      </c>
      <c r="C27" s="181" t="n">
        <v>0.02</v>
      </c>
      <c r="D27" s="181"/>
      <c r="E27" s="122" t="n">
        <f aca="false">'1st Cargo Input'!J53</f>
        <v>0</v>
      </c>
      <c r="F27" s="122"/>
      <c r="G27" s="181" t="n">
        <v>0.32</v>
      </c>
      <c r="I27" s="122" t="n">
        <f aca="false">IF(C27=0,0,C27*E27/G27)</f>
        <v>0</v>
      </c>
    </row>
    <row r="28" customFormat="false" ht="12.75" hidden="false" customHeight="false" outlineLevel="0" collapsed="false">
      <c r="A28" s="79" t="n">
        <v>24</v>
      </c>
      <c r="B28" s="180" t="n">
        <f aca="false">'1st Cargo Input'!H54</f>
        <v>0</v>
      </c>
      <c r="C28" s="181" t="n">
        <v>0.02</v>
      </c>
      <c r="D28" s="181"/>
      <c r="E28" s="122" t="n">
        <f aca="false">'1st Cargo Input'!J54</f>
        <v>0</v>
      </c>
      <c r="F28" s="122"/>
      <c r="G28" s="181" t="n">
        <v>0.32</v>
      </c>
      <c r="I28" s="122" t="n">
        <f aca="false">IF(C28=0,0,C28*E28/G28)</f>
        <v>0</v>
      </c>
    </row>
    <row r="29" customFormat="false" ht="12.75" hidden="false" customHeight="false" outlineLevel="0" collapsed="false">
      <c r="A29" s="79" t="n">
        <v>25</v>
      </c>
      <c r="B29" s="180" t="n">
        <f aca="false">'1st Cargo Input'!H55</f>
        <v>0</v>
      </c>
      <c r="C29" s="181" t="n">
        <v>0.02</v>
      </c>
      <c r="D29" s="181"/>
      <c r="E29" s="122" t="n">
        <f aca="false">'1st Cargo Input'!J55</f>
        <v>0</v>
      </c>
      <c r="F29" s="122"/>
      <c r="G29" s="181" t="n">
        <v>0.32</v>
      </c>
      <c r="I29" s="182" t="n">
        <f aca="false">IF(C29=0,0,C29*E29/G29)</f>
        <v>0</v>
      </c>
    </row>
    <row r="30" customFormat="false" ht="12.75" hidden="false" customHeight="false" outlineLevel="0" collapsed="false">
      <c r="H30" s="19" t="s">
        <v>53</v>
      </c>
      <c r="I30" s="183" t="n">
        <f aca="false">SUM(I5:I29)</f>
        <v>0.071875</v>
      </c>
    </row>
    <row r="31" customFormat="false" ht="12.75" hidden="false" customHeight="false" outlineLevel="0" collapsed="false">
      <c r="H31" s="19"/>
      <c r="I31" s="183"/>
    </row>
    <row r="32" customFormat="false" ht="12.75" hidden="false" customHeight="false" outlineLevel="0" collapsed="false">
      <c r="A32" s="1" t="s">
        <v>221</v>
      </c>
    </row>
    <row r="33" customFormat="false" ht="12.75" hidden="false" customHeight="true" outlineLevel="0" collapsed="false">
      <c r="E33" s="156" t="s">
        <v>24</v>
      </c>
      <c r="F33" s="156"/>
      <c r="G33" s="156"/>
      <c r="H33" s="157"/>
      <c r="I33" s="20"/>
    </row>
    <row r="34" customFormat="false" ht="47.25" hidden="false" customHeight="true" outlineLevel="0" collapsed="false">
      <c r="A34" s="50" t="s">
        <v>216</v>
      </c>
      <c r="B34" s="178" t="s">
        <v>217</v>
      </c>
      <c r="C34" s="50" t="s">
        <v>222</v>
      </c>
      <c r="D34" s="144" t="s">
        <v>177</v>
      </c>
      <c r="E34" s="50" t="s">
        <v>87</v>
      </c>
      <c r="F34" s="178" t="s">
        <v>161</v>
      </c>
      <c r="G34" s="50" t="s">
        <v>219</v>
      </c>
      <c r="H34" s="144" t="s">
        <v>177</v>
      </c>
      <c r="I34" s="50" t="s">
        <v>223</v>
      </c>
      <c r="J34" s="114" t="s">
        <v>69</v>
      </c>
      <c r="K34" s="179" t="s">
        <v>220</v>
      </c>
    </row>
    <row r="35" customFormat="false" ht="12.75" hidden="false" customHeight="false" outlineLevel="0" collapsed="false">
      <c r="A35" s="79" t="n">
        <v>1</v>
      </c>
      <c r="B35" s="180" t="n">
        <f aca="false">'1st Cargo Input'!F62</f>
        <v>36671</v>
      </c>
      <c r="C35" s="181" t="n">
        <v>0.03</v>
      </c>
      <c r="D35" s="181"/>
      <c r="E35" s="122" t="n">
        <f aca="false">'1st Cargo Input'!H62</f>
        <v>0.575</v>
      </c>
      <c r="F35" s="122"/>
      <c r="G35" s="181" t="n">
        <v>0.32</v>
      </c>
      <c r="H35" s="181"/>
      <c r="I35" s="184" t="n">
        <f aca="false">'1st Cargo Input'!J62</f>
        <v>1</v>
      </c>
      <c r="K35" s="122" t="n">
        <f aca="false">IF(E35=0,0,C35*E35/G35*I35)</f>
        <v>0.05390625</v>
      </c>
    </row>
    <row r="36" customFormat="false" ht="12.75" hidden="false" customHeight="false" outlineLevel="0" collapsed="false">
      <c r="A36" s="79" t="n">
        <v>2</v>
      </c>
      <c r="B36" s="180" t="n">
        <f aca="false">'1st Cargo Input'!F63</f>
        <v>36672</v>
      </c>
      <c r="C36" s="181" t="n">
        <v>0.03</v>
      </c>
      <c r="D36" s="181"/>
      <c r="E36" s="122" t="n">
        <f aca="false">'1st Cargo Input'!H63</f>
        <v>0.575</v>
      </c>
      <c r="F36" s="122"/>
      <c r="G36" s="181" t="n">
        <v>0.32</v>
      </c>
      <c r="H36" s="181"/>
      <c r="I36" s="184" t="n">
        <f aca="false">'1st Cargo Input'!J63</f>
        <v>0.5</v>
      </c>
      <c r="K36" s="122" t="n">
        <f aca="false">C36*E36/G36*I36</f>
        <v>0.026953125</v>
      </c>
    </row>
    <row r="37" customFormat="false" ht="12.75" hidden="false" customHeight="false" outlineLevel="0" collapsed="false">
      <c r="A37" s="79" t="n">
        <v>3</v>
      </c>
      <c r="B37" s="180" t="n">
        <f aca="false">'1st Cargo Input'!F64</f>
        <v>0</v>
      </c>
      <c r="C37" s="181" t="n">
        <v>0.03</v>
      </c>
      <c r="D37" s="181"/>
      <c r="E37" s="122" t="n">
        <f aca="false">'1st Cargo Input'!H64</f>
        <v>0</v>
      </c>
      <c r="F37" s="122"/>
      <c r="G37" s="181" t="n">
        <v>0.32</v>
      </c>
      <c r="H37" s="181"/>
      <c r="I37" s="184" t="n">
        <f aca="false">'1st Cargo Input'!J64</f>
        <v>0</v>
      </c>
      <c r="K37" s="122" t="n">
        <f aca="false">C37*E37/G37*I37</f>
        <v>0</v>
      </c>
    </row>
    <row r="38" customFormat="false" ht="12.75" hidden="false" customHeight="false" outlineLevel="0" collapsed="false">
      <c r="A38" s="79" t="n">
        <v>4</v>
      </c>
      <c r="B38" s="180" t="n">
        <f aca="false">'1st Cargo Input'!F65</f>
        <v>0</v>
      </c>
      <c r="C38" s="181" t="n">
        <v>0.03</v>
      </c>
      <c r="D38" s="181"/>
      <c r="E38" s="122" t="n">
        <f aca="false">'1st Cargo Input'!H65</f>
        <v>0</v>
      </c>
      <c r="F38" s="122"/>
      <c r="G38" s="181" t="n">
        <v>0.32</v>
      </c>
      <c r="H38" s="181"/>
      <c r="I38" s="184" t="n">
        <f aca="false">'1st Cargo Input'!J65</f>
        <v>0</v>
      </c>
      <c r="K38" s="122" t="n">
        <f aca="false">C38*E38/G38*I38</f>
        <v>0</v>
      </c>
    </row>
    <row r="39" customFormat="false" ht="12.75" hidden="false" customHeight="false" outlineLevel="0" collapsed="false">
      <c r="A39" s="79" t="n">
        <v>5</v>
      </c>
      <c r="B39" s="180" t="n">
        <f aca="false">'1st Cargo Input'!F66</f>
        <v>0</v>
      </c>
      <c r="C39" s="181" t="n">
        <v>0.03</v>
      </c>
      <c r="D39" s="181"/>
      <c r="E39" s="122" t="n">
        <f aca="false">'1st Cargo Input'!H66</f>
        <v>0</v>
      </c>
      <c r="F39" s="122"/>
      <c r="G39" s="181" t="n">
        <v>0.32</v>
      </c>
      <c r="H39" s="181"/>
      <c r="I39" s="184" t="n">
        <f aca="false">'1st Cargo Input'!J66</f>
        <v>0</v>
      </c>
      <c r="K39" s="122" t="n">
        <f aca="false">C39*E39/G39*I39</f>
        <v>0</v>
      </c>
    </row>
    <row r="40" customFormat="false" ht="12.75" hidden="false" customHeight="false" outlineLevel="0" collapsed="false">
      <c r="A40" s="79" t="n">
        <v>6</v>
      </c>
      <c r="B40" s="180" t="n">
        <f aca="false">'1st Cargo Input'!F67</f>
        <v>0</v>
      </c>
      <c r="C40" s="181" t="n">
        <v>0.03</v>
      </c>
      <c r="D40" s="181"/>
      <c r="E40" s="122" t="n">
        <f aca="false">'1st Cargo Input'!H67</f>
        <v>0</v>
      </c>
      <c r="F40" s="122"/>
      <c r="G40" s="181" t="n">
        <v>0.32</v>
      </c>
      <c r="H40" s="181"/>
      <c r="I40" s="184" t="n">
        <f aca="false">'1st Cargo Input'!J67</f>
        <v>0</v>
      </c>
      <c r="K40" s="122" t="n">
        <f aca="false">C40*E40/G40*I40</f>
        <v>0</v>
      </c>
    </row>
    <row r="41" customFormat="false" ht="12.75" hidden="false" customHeight="false" outlineLevel="0" collapsed="false">
      <c r="A41" s="79" t="n">
        <v>7</v>
      </c>
      <c r="B41" s="180" t="n">
        <f aca="false">'1st Cargo Input'!F68</f>
        <v>0</v>
      </c>
      <c r="C41" s="181" t="n">
        <v>0.03</v>
      </c>
      <c r="D41" s="181"/>
      <c r="E41" s="122" t="n">
        <f aca="false">'1st Cargo Input'!H68</f>
        <v>0</v>
      </c>
      <c r="F41" s="122"/>
      <c r="G41" s="181" t="n">
        <v>0.32</v>
      </c>
      <c r="H41" s="181"/>
      <c r="I41" s="184" t="n">
        <f aca="false">'1st Cargo Input'!J68</f>
        <v>0</v>
      </c>
      <c r="K41" s="122" t="n">
        <f aca="false">C41*E41/G41*I41</f>
        <v>0</v>
      </c>
    </row>
    <row r="42" customFormat="false" ht="12.75" hidden="false" customHeight="false" outlineLevel="0" collapsed="false">
      <c r="A42" s="79" t="n">
        <v>8</v>
      </c>
      <c r="B42" s="180" t="n">
        <f aca="false">'1st Cargo Input'!F69</f>
        <v>0</v>
      </c>
      <c r="C42" s="181" t="n">
        <v>0.03</v>
      </c>
      <c r="D42" s="181"/>
      <c r="E42" s="122" t="n">
        <f aca="false">'1st Cargo Input'!H69</f>
        <v>0</v>
      </c>
      <c r="F42" s="122"/>
      <c r="G42" s="181" t="n">
        <v>0.32</v>
      </c>
      <c r="H42" s="181"/>
      <c r="I42" s="184" t="n">
        <f aca="false">'1st Cargo Input'!J69</f>
        <v>0</v>
      </c>
      <c r="K42" s="122" t="n">
        <f aca="false">C42*E42/G42*I42</f>
        <v>0</v>
      </c>
    </row>
    <row r="43" customFormat="false" ht="12.75" hidden="false" customHeight="false" outlineLevel="0" collapsed="false">
      <c r="A43" s="79" t="n">
        <v>9</v>
      </c>
      <c r="B43" s="180" t="n">
        <f aca="false">'1st Cargo Input'!F70</f>
        <v>0</v>
      </c>
      <c r="C43" s="181" t="n">
        <v>0.03</v>
      </c>
      <c r="D43" s="181"/>
      <c r="E43" s="122" t="n">
        <f aca="false">'1st Cargo Input'!H70</f>
        <v>0</v>
      </c>
      <c r="F43" s="122"/>
      <c r="G43" s="181" t="n">
        <v>0.32</v>
      </c>
      <c r="H43" s="181"/>
      <c r="I43" s="184" t="n">
        <f aca="false">'1st Cargo Input'!J70</f>
        <v>0</v>
      </c>
      <c r="K43" s="122" t="n">
        <f aca="false">C43*E43/G43*I43</f>
        <v>0</v>
      </c>
    </row>
    <row r="44" customFormat="false" ht="12.75" hidden="false" customHeight="false" outlineLevel="0" collapsed="false">
      <c r="A44" s="79" t="n">
        <v>10</v>
      </c>
      <c r="B44" s="180" t="n">
        <f aca="false">'1st Cargo Input'!F71</f>
        <v>0</v>
      </c>
      <c r="C44" s="181" t="n">
        <v>0.03</v>
      </c>
      <c r="D44" s="181"/>
      <c r="E44" s="122" t="n">
        <f aca="false">'1st Cargo Input'!H71</f>
        <v>0</v>
      </c>
      <c r="F44" s="122"/>
      <c r="G44" s="181" t="n">
        <v>0.32</v>
      </c>
      <c r="H44" s="181"/>
      <c r="I44" s="184" t="n">
        <f aca="false">'1st Cargo Input'!J71</f>
        <v>0</v>
      </c>
      <c r="K44" s="122" t="n">
        <f aca="false">C44*E44/G44*I44</f>
        <v>0</v>
      </c>
    </row>
    <row r="45" customFormat="false" ht="12.75" hidden="false" customHeight="false" outlineLevel="0" collapsed="false">
      <c r="A45" s="79" t="n">
        <v>11</v>
      </c>
      <c r="B45" s="180" t="n">
        <f aca="false">'1st Cargo Input'!F72</f>
        <v>0</v>
      </c>
      <c r="C45" s="181" t="n">
        <v>0.03</v>
      </c>
      <c r="D45" s="181"/>
      <c r="E45" s="122" t="n">
        <f aca="false">'1st Cargo Input'!H72</f>
        <v>0</v>
      </c>
      <c r="F45" s="122"/>
      <c r="G45" s="181" t="n">
        <v>0.32</v>
      </c>
      <c r="H45" s="181"/>
      <c r="I45" s="184" t="n">
        <f aca="false">'1st Cargo Input'!J72</f>
        <v>0</v>
      </c>
      <c r="K45" s="122" t="n">
        <f aca="false">C45*E45/G45*I45</f>
        <v>0</v>
      </c>
    </row>
    <row r="46" customFormat="false" ht="12.75" hidden="false" customHeight="false" outlineLevel="0" collapsed="false">
      <c r="A46" s="79" t="n">
        <v>12</v>
      </c>
      <c r="B46" s="180" t="n">
        <f aca="false">'1st Cargo Input'!F73</f>
        <v>0</v>
      </c>
      <c r="C46" s="181" t="n">
        <v>0.03</v>
      </c>
      <c r="D46" s="181"/>
      <c r="E46" s="122" t="n">
        <f aca="false">'1st Cargo Input'!H73</f>
        <v>0</v>
      </c>
      <c r="F46" s="122"/>
      <c r="G46" s="181" t="n">
        <v>0.32</v>
      </c>
      <c r="H46" s="181"/>
      <c r="I46" s="184" t="n">
        <f aca="false">'1st Cargo Input'!J73</f>
        <v>0</v>
      </c>
      <c r="K46" s="122" t="n">
        <f aca="false">C46*E46/G46*I46</f>
        <v>0</v>
      </c>
    </row>
    <row r="47" customFormat="false" ht="12.75" hidden="false" customHeight="false" outlineLevel="0" collapsed="false">
      <c r="A47" s="79" t="n">
        <v>13</v>
      </c>
      <c r="B47" s="180" t="n">
        <f aca="false">'1st Cargo Input'!F74</f>
        <v>0</v>
      </c>
      <c r="C47" s="181" t="n">
        <v>0.03</v>
      </c>
      <c r="D47" s="181"/>
      <c r="E47" s="122" t="n">
        <f aca="false">'1st Cargo Input'!H74</f>
        <v>0</v>
      </c>
      <c r="F47" s="122"/>
      <c r="G47" s="181" t="n">
        <v>0.32</v>
      </c>
      <c r="H47" s="181"/>
      <c r="I47" s="184" t="n">
        <f aca="false">'1st Cargo Input'!J74</f>
        <v>0</v>
      </c>
      <c r="K47" s="122" t="n">
        <f aca="false">C47*E47/G47*I47</f>
        <v>0</v>
      </c>
    </row>
    <row r="48" customFormat="false" ht="12.75" hidden="false" customHeight="false" outlineLevel="0" collapsed="false">
      <c r="A48" s="79" t="n">
        <v>14</v>
      </c>
      <c r="B48" s="180" t="n">
        <f aca="false">'1st Cargo Input'!F75</f>
        <v>0</v>
      </c>
      <c r="C48" s="181" t="n">
        <v>0.03</v>
      </c>
      <c r="D48" s="181"/>
      <c r="E48" s="122" t="n">
        <f aca="false">'1st Cargo Input'!H75</f>
        <v>0</v>
      </c>
      <c r="F48" s="122"/>
      <c r="G48" s="181" t="n">
        <v>0.32</v>
      </c>
      <c r="H48" s="181"/>
      <c r="I48" s="184" t="n">
        <f aca="false">'1st Cargo Input'!J75</f>
        <v>0</v>
      </c>
      <c r="K48" s="122" t="n">
        <f aca="false">C48*E48/G48*I48</f>
        <v>0</v>
      </c>
    </row>
    <row r="49" customFormat="false" ht="12.75" hidden="false" customHeight="false" outlineLevel="0" collapsed="false">
      <c r="A49" s="79" t="n">
        <v>15</v>
      </c>
      <c r="B49" s="180" t="n">
        <f aca="false">'1st Cargo Input'!F76</f>
        <v>0</v>
      </c>
      <c r="C49" s="181" t="n">
        <v>0.03</v>
      </c>
      <c r="D49" s="181"/>
      <c r="E49" s="122" t="n">
        <f aca="false">'1st Cargo Input'!H76</f>
        <v>0</v>
      </c>
      <c r="F49" s="122"/>
      <c r="G49" s="181" t="n">
        <v>0.32</v>
      </c>
      <c r="H49" s="181"/>
      <c r="I49" s="184" t="n">
        <f aca="false">'1st Cargo Input'!J76</f>
        <v>0</v>
      </c>
      <c r="K49" s="122" t="n">
        <f aca="false">C49*E49/G49*I49</f>
        <v>0</v>
      </c>
    </row>
    <row r="50" customFormat="false" ht="12.75" hidden="false" customHeight="false" outlineLevel="0" collapsed="false">
      <c r="A50" s="79" t="n">
        <v>16</v>
      </c>
      <c r="B50" s="180" t="n">
        <f aca="false">'1st Cargo Input'!F77</f>
        <v>0</v>
      </c>
      <c r="C50" s="181" t="n">
        <v>0.03</v>
      </c>
      <c r="D50" s="181"/>
      <c r="E50" s="122" t="n">
        <f aca="false">'1st Cargo Input'!H77</f>
        <v>0</v>
      </c>
      <c r="F50" s="122"/>
      <c r="G50" s="181" t="n">
        <v>0.32</v>
      </c>
      <c r="H50" s="181"/>
      <c r="I50" s="184" t="n">
        <f aca="false">'1st Cargo Input'!J77</f>
        <v>0</v>
      </c>
      <c r="K50" s="122" t="n">
        <f aca="false">C50*E50/G50*I50</f>
        <v>0</v>
      </c>
    </row>
    <row r="51" customFormat="false" ht="12.75" hidden="false" customHeight="false" outlineLevel="0" collapsed="false">
      <c r="A51" s="79" t="n">
        <v>17</v>
      </c>
      <c r="B51" s="180" t="n">
        <f aca="false">'1st Cargo Input'!F78</f>
        <v>0</v>
      </c>
      <c r="C51" s="181" t="n">
        <v>0.03</v>
      </c>
      <c r="D51" s="181"/>
      <c r="E51" s="122" t="n">
        <f aca="false">'1st Cargo Input'!H78</f>
        <v>0</v>
      </c>
      <c r="F51" s="122"/>
      <c r="G51" s="181" t="n">
        <v>0.32</v>
      </c>
      <c r="H51" s="181"/>
      <c r="I51" s="184" t="n">
        <f aca="false">'1st Cargo Input'!J78</f>
        <v>0</v>
      </c>
      <c r="K51" s="122" t="n">
        <f aca="false">C51*E51/G51*I51</f>
        <v>0</v>
      </c>
    </row>
    <row r="52" customFormat="false" ht="12.75" hidden="false" customHeight="false" outlineLevel="0" collapsed="false">
      <c r="A52" s="79" t="n">
        <v>18</v>
      </c>
      <c r="B52" s="180" t="n">
        <f aca="false">'1st Cargo Input'!F79</f>
        <v>0</v>
      </c>
      <c r="C52" s="181" t="n">
        <v>0.03</v>
      </c>
      <c r="D52" s="181"/>
      <c r="E52" s="122" t="n">
        <f aca="false">'1st Cargo Input'!H79</f>
        <v>0</v>
      </c>
      <c r="F52" s="122"/>
      <c r="G52" s="181" t="n">
        <v>0.32</v>
      </c>
      <c r="H52" s="181"/>
      <c r="I52" s="184" t="n">
        <f aca="false">'1st Cargo Input'!J79</f>
        <v>0</v>
      </c>
      <c r="K52" s="122" t="n">
        <f aca="false">C52*E52/G52*I52</f>
        <v>0</v>
      </c>
    </row>
    <row r="53" customFormat="false" ht="12.75" hidden="false" customHeight="false" outlineLevel="0" collapsed="false">
      <c r="A53" s="79" t="n">
        <v>19</v>
      </c>
      <c r="B53" s="180" t="n">
        <f aca="false">'1st Cargo Input'!F80</f>
        <v>0</v>
      </c>
      <c r="C53" s="181" t="n">
        <v>0.03</v>
      </c>
      <c r="D53" s="181"/>
      <c r="E53" s="122" t="n">
        <f aca="false">'1st Cargo Input'!H80</f>
        <v>0</v>
      </c>
      <c r="F53" s="122"/>
      <c r="G53" s="181" t="n">
        <v>0.32</v>
      </c>
      <c r="H53" s="181"/>
      <c r="I53" s="184" t="n">
        <f aca="false">'1st Cargo Input'!J80</f>
        <v>0</v>
      </c>
      <c r="K53" s="122" t="n">
        <f aca="false">C53*E53/G53*I53</f>
        <v>0</v>
      </c>
    </row>
    <row r="54" customFormat="false" ht="12.75" hidden="false" customHeight="false" outlineLevel="0" collapsed="false">
      <c r="A54" s="79" t="n">
        <v>20</v>
      </c>
      <c r="B54" s="180" t="n">
        <f aca="false">'1st Cargo Input'!F81</f>
        <v>0</v>
      </c>
      <c r="C54" s="181" t="n">
        <v>0.03</v>
      </c>
      <c r="D54" s="181"/>
      <c r="E54" s="122" t="n">
        <f aca="false">'1st Cargo Input'!H81</f>
        <v>0</v>
      </c>
      <c r="F54" s="122"/>
      <c r="G54" s="181" t="n">
        <v>0.32</v>
      </c>
      <c r="H54" s="181"/>
      <c r="I54" s="184" t="n">
        <f aca="false">'1st Cargo Input'!J81</f>
        <v>0</v>
      </c>
      <c r="K54" s="122" t="n">
        <f aca="false">C54*E54/G54*I54</f>
        <v>0</v>
      </c>
    </row>
    <row r="55" customFormat="false" ht="12.75" hidden="false" customHeight="false" outlineLevel="0" collapsed="false">
      <c r="A55" s="79" t="n">
        <v>21</v>
      </c>
      <c r="B55" s="180" t="n">
        <f aca="false">'1st Cargo Input'!F82</f>
        <v>0</v>
      </c>
      <c r="C55" s="181" t="n">
        <v>0.03</v>
      </c>
      <c r="D55" s="181"/>
      <c r="E55" s="122" t="n">
        <f aca="false">'1st Cargo Input'!H82</f>
        <v>0</v>
      </c>
      <c r="F55" s="122"/>
      <c r="G55" s="181" t="n">
        <v>0.32</v>
      </c>
      <c r="H55" s="181"/>
      <c r="I55" s="184" t="n">
        <f aca="false">'1st Cargo Input'!J82</f>
        <v>0</v>
      </c>
      <c r="K55" s="122" t="n">
        <f aca="false">C55*E55/G55*I55</f>
        <v>0</v>
      </c>
    </row>
    <row r="56" customFormat="false" ht="12.75" hidden="false" customHeight="false" outlineLevel="0" collapsed="false">
      <c r="A56" s="79" t="n">
        <v>22</v>
      </c>
      <c r="B56" s="180" t="n">
        <f aca="false">'1st Cargo Input'!F83</f>
        <v>0</v>
      </c>
      <c r="C56" s="181" t="n">
        <v>0.03</v>
      </c>
      <c r="D56" s="181"/>
      <c r="E56" s="122" t="n">
        <f aca="false">'1st Cargo Input'!H83</f>
        <v>0</v>
      </c>
      <c r="F56" s="122"/>
      <c r="G56" s="181" t="n">
        <v>0.32</v>
      </c>
      <c r="H56" s="181"/>
      <c r="I56" s="184" t="n">
        <f aca="false">'1st Cargo Input'!J83</f>
        <v>0</v>
      </c>
      <c r="K56" s="122" t="n">
        <f aca="false">C56*E56/G56*I56</f>
        <v>0</v>
      </c>
    </row>
    <row r="57" customFormat="false" ht="12.75" hidden="false" customHeight="false" outlineLevel="0" collapsed="false">
      <c r="A57" s="79" t="n">
        <v>23</v>
      </c>
      <c r="B57" s="180" t="n">
        <f aca="false">'1st Cargo Input'!F84</f>
        <v>0</v>
      </c>
      <c r="C57" s="181" t="n">
        <v>0.03</v>
      </c>
      <c r="D57" s="181"/>
      <c r="E57" s="122" t="n">
        <f aca="false">'1st Cargo Input'!H84</f>
        <v>0</v>
      </c>
      <c r="F57" s="122"/>
      <c r="G57" s="181" t="n">
        <v>0.32</v>
      </c>
      <c r="H57" s="181"/>
      <c r="I57" s="184" t="n">
        <f aca="false">'1st Cargo Input'!J84</f>
        <v>0</v>
      </c>
      <c r="K57" s="122" t="n">
        <f aca="false">C57*E57/G57*I57</f>
        <v>0</v>
      </c>
    </row>
    <row r="58" customFormat="false" ht="12.75" hidden="false" customHeight="false" outlineLevel="0" collapsed="false">
      <c r="A58" s="79" t="n">
        <v>24</v>
      </c>
      <c r="B58" s="180" t="n">
        <f aca="false">'1st Cargo Input'!F85</f>
        <v>0</v>
      </c>
      <c r="C58" s="181" t="n">
        <v>0.03</v>
      </c>
      <c r="D58" s="181"/>
      <c r="E58" s="122" t="n">
        <f aca="false">'1st Cargo Input'!H85</f>
        <v>0</v>
      </c>
      <c r="F58" s="122"/>
      <c r="G58" s="181" t="n">
        <v>0.32</v>
      </c>
      <c r="H58" s="181"/>
      <c r="I58" s="184" t="n">
        <f aca="false">'1st Cargo Input'!J85</f>
        <v>0</v>
      </c>
      <c r="K58" s="122" t="n">
        <f aca="false">C58*E58/G58*I58</f>
        <v>0</v>
      </c>
    </row>
    <row r="59" customFormat="false" ht="12.75" hidden="false" customHeight="false" outlineLevel="0" collapsed="false">
      <c r="A59" s="79" t="n">
        <v>25</v>
      </c>
      <c r="B59" s="180" t="n">
        <f aca="false">'1st Cargo Input'!F86</f>
        <v>0</v>
      </c>
      <c r="C59" s="181" t="n">
        <v>0.03</v>
      </c>
      <c r="D59" s="181"/>
      <c r="E59" s="122" t="n">
        <f aca="false">'1st Cargo Input'!H86</f>
        <v>0</v>
      </c>
      <c r="F59" s="122"/>
      <c r="G59" s="181" t="n">
        <v>0.32</v>
      </c>
      <c r="H59" s="181"/>
      <c r="I59" s="184" t="n">
        <f aca="false">'1st Cargo Input'!J86</f>
        <v>0</v>
      </c>
      <c r="K59" s="182" t="n">
        <f aca="false">C59*E59/G59*I59</f>
        <v>0</v>
      </c>
    </row>
    <row r="60" customFormat="false" ht="12.75" hidden="false" customHeight="false" outlineLevel="0" collapsed="false">
      <c r="A60" s="79"/>
      <c r="B60" s="180"/>
      <c r="C60" s="181"/>
      <c r="D60" s="181"/>
      <c r="E60" s="122"/>
      <c r="F60" s="122"/>
      <c r="G60" s="181"/>
      <c r="H60" s="181"/>
      <c r="I60" s="184"/>
      <c r="J60" s="19" t="s">
        <v>53</v>
      </c>
      <c r="K60" s="122" t="n">
        <f aca="false">SUM(K35:K59)</f>
        <v>0.080859375</v>
      </c>
    </row>
  </sheetData>
  <mergeCells count="2">
    <mergeCell ref="E3:G3"/>
    <mergeCell ref="E33:G33"/>
  </mergeCells>
  <printOptions headings="false" gridLines="false" gridLinesSet="true" horizontalCentered="false" verticalCentered="false"/>
  <pageMargins left="0.740277777777778" right="0.959722222222222" top="0.759722222222222" bottom="1.07013888888889" header="0.25" footer="0.5"/>
  <pageSetup paperSize="1" scale="85" fitToWidth="1" fitToHeight="1" pageOrder="downThenOver" orientation="portrait" blackAndWhite="false" draft="false" cellComments="none" horizontalDpi="300" verticalDpi="300" copies="1"/>
  <headerFooter differentFirst="false" differentOddEven="false">
    <oddHeader>&amp;LEcoElectrica LP
LNG Sales Contract
Section 8.3 (c) Late Delivery Day
Section7.2(b)(ii) Scheduling</oddHeader>
    <oddFooter>&amp;LLNG Sales Contract
&amp;D
&amp;T&amp;CLate Delivery Day - Scheduling&amp;R&amp;P of &amp;N</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4:J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7" activeCellId="0" sqref="H7"/>
    </sheetView>
  </sheetViews>
  <sheetFormatPr defaultColWidth="9.0546875" defaultRowHeight="12.75" customHeight="true" zeroHeight="false" outlineLevelRow="0" outlineLevelCol="0"/>
  <cols>
    <col collapsed="false" customWidth="true" hidden="false" outlineLevel="0" max="9" min="9" style="0" width="15.28"/>
  </cols>
  <sheetData>
    <row r="4" customFormat="false" ht="51" hidden="false" customHeight="true" outlineLevel="0" collapsed="false">
      <c r="A4" s="77" t="s">
        <v>224</v>
      </c>
      <c r="B4" s="77"/>
      <c r="C4" s="77"/>
      <c r="D4" s="77"/>
      <c r="E4" s="77"/>
      <c r="F4" s="77"/>
      <c r="G4" s="77"/>
      <c r="H4" s="22" t="s">
        <v>225</v>
      </c>
      <c r="I4" s="5" t="str">
        <f aca="false">IF(AND('1st Cargo Input'!J11="Y",'1st Cargo Input'!J15&lt;=3),('1st Cargo Input'!J15*50000*'Adjustment Factor'!L9),(IF(AND('1st Cargo Input'!J11="Y",'1st Cargo Input'!J15&gt;3,'1st Cargo Input'!J15&lt;=6),((3*50000*'Adjustment Factor'!L9)+('1st Cargo Input'!J15-3)*(100000*'Adjustment Factor'!L9)),(IF(AND('1st Cargo Input'!J11="Y",'1st Cargo Input'!J15&gt;6),((3*50000*'Adjustment Factor'!L9)+(6-3)*(100000*'Adjustment Factor'!L9)+('1st Cargo Input'!J15-6)*(200000*'Adjustment Factor'!L9)),IF('1st Cargo Input'!J11="N",("Not Applicable")))))))</f>
        <v>Not Applicable</v>
      </c>
      <c r="J4" s="185"/>
    </row>
    <row r="6" customFormat="false" ht="40.5" hidden="false" customHeight="true" outlineLevel="0" collapsed="false">
      <c r="A6" s="77" t="s">
        <v>226</v>
      </c>
      <c r="B6" s="77"/>
      <c r="C6" s="77"/>
      <c r="D6" s="77"/>
      <c r="E6" s="77"/>
      <c r="F6" s="77"/>
      <c r="G6" s="77"/>
      <c r="H6" s="111" t="s">
        <v>225</v>
      </c>
      <c r="I6" s="5" t="n">
        <f aca="false">IF(AND('1st Cargo Input'!J13="Y",'1st Cargo Input'!J15&lt;=3),('1st Cargo Input'!J15*30000*'Adjustment Factor'!L9),(IF(AND('1st Cargo Input'!J13="Y",'1st Cargo Input'!J15&gt;3,'1st Cargo Input'!J15&lt;=6),((3*30000*'Adjustment Factor'!L9)+('1st Cargo Input'!J15-3)*(60000*'Adjustment Factor'!L9)),(IF(AND('1st Cargo Input'!J13="Y",'1st Cargo Input'!J15&gt;6),((3*30000*'Adjustment Factor'!L9)+(6-3)*(60000*'Adjustment Factor'!L9)+('1st Cargo Input'!J15-6)*(120000*'Adjustment Factor'!L9)),IF('1st Cargo Input'!J13="N","Not Applicable"))))))</f>
        <v>451951.642335766</v>
      </c>
    </row>
    <row r="16" customFormat="false" ht="12.75" hidden="false" customHeight="false" outlineLevel="0" collapsed="false">
      <c r="A16" s="186"/>
    </row>
  </sheetData>
  <mergeCells count="2">
    <mergeCell ref="A4:G4"/>
    <mergeCell ref="A6:G6"/>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1" pageOrder="downThenOver" orientation="portrait" blackAndWhite="false" draft="false" cellComments="none" horizontalDpi="300" verticalDpi="300" copies="1"/>
  <headerFooter differentFirst="false" differentOddEven="false">
    <oddHeader>&amp;LEcoElectrica LP
LNG Sales Contract
Section 6.8 Demurrage </oddHeader>
    <oddFooter>&amp;LLNG Sales Contract
&amp;D
&amp;T&amp;CDemurrage&amp;R&amp;P of &amp;N</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L4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15" activeCellId="0" sqref="F15"/>
    </sheetView>
  </sheetViews>
  <sheetFormatPr defaultColWidth="9.0546875" defaultRowHeight="12.75" customHeight="true" zeroHeight="false" outlineLevelRow="0" outlineLevelCol="0"/>
  <cols>
    <col collapsed="false" customWidth="true" hidden="false" outlineLevel="0" max="1" min="1" style="0" width="10.99"/>
    <col collapsed="false" customWidth="true" hidden="false" outlineLevel="0" max="2" min="2" style="0" width="19.99"/>
    <col collapsed="false" customWidth="true" hidden="false" outlineLevel="0" max="3" min="3" style="0" width="4.7"/>
    <col collapsed="false" customWidth="true" hidden="false" outlineLevel="0" max="4" min="4" style="0" width="19.56"/>
    <col collapsed="false" customWidth="true" hidden="false" outlineLevel="0" max="5" min="5" style="0" width="4.7"/>
    <col collapsed="false" customWidth="true" hidden="false" outlineLevel="0" max="6" min="6" style="0" width="16.7"/>
    <col collapsed="false" customWidth="true" hidden="false" outlineLevel="0" max="7" min="7" style="0" width="4.7"/>
    <col collapsed="false" customWidth="true" hidden="false" outlineLevel="0" max="8" min="8" style="0" width="17.42"/>
    <col collapsed="false" customWidth="true" hidden="false" outlineLevel="0" max="9" min="9" style="0" width="4.7"/>
    <col collapsed="false" customWidth="true" hidden="false" outlineLevel="0" max="10" min="10" style="0" width="17.28"/>
    <col collapsed="false" customWidth="true" hidden="false" outlineLevel="0" max="11" min="11" style="0" width="4.7"/>
    <col collapsed="false" customWidth="true" hidden="false" outlineLevel="0" max="12" min="12" style="0" width="15.7"/>
    <col collapsed="false" customWidth="true" hidden="false" outlineLevel="0" max="13" min="13" style="0" width="4.7"/>
    <col collapsed="false" customWidth="true" hidden="false" outlineLevel="0" max="14" min="14" style="0" width="13.85"/>
  </cols>
  <sheetData>
    <row r="2" customFormat="false" ht="29.25" hidden="false" customHeight="true" outlineLevel="0" collapsed="false">
      <c r="A2" s="65" t="s">
        <v>227</v>
      </c>
      <c r="B2" s="65"/>
      <c r="C2" s="65"/>
      <c r="D2" s="65"/>
      <c r="E2" s="65"/>
      <c r="F2" s="65"/>
      <c r="G2" s="65"/>
      <c r="H2" s="65"/>
      <c r="I2" s="65"/>
      <c r="J2" s="65"/>
    </row>
    <row r="4" customFormat="false" ht="12.75" hidden="false" customHeight="false" outlineLevel="0" collapsed="false">
      <c r="A4" s="1" t="s">
        <v>228</v>
      </c>
    </row>
    <row r="5" customFormat="false" ht="26.25" hidden="false" customHeight="true" outlineLevel="0" collapsed="false">
      <c r="B5" s="113" t="s">
        <v>151</v>
      </c>
      <c r="C5" s="187" t="s">
        <v>229</v>
      </c>
      <c r="D5" s="113" t="s">
        <v>153</v>
      </c>
      <c r="E5" s="105" t="s">
        <v>201</v>
      </c>
      <c r="F5" s="113" t="s">
        <v>230</v>
      </c>
      <c r="G5" s="105" t="s">
        <v>201</v>
      </c>
      <c r="H5" s="113" t="s">
        <v>231</v>
      </c>
      <c r="I5" s="187" t="s">
        <v>69</v>
      </c>
      <c r="J5" s="50" t="s">
        <v>232</v>
      </c>
    </row>
    <row r="6" customFormat="false" ht="12.75" hidden="false" customHeight="false" outlineLevel="0" collapsed="false">
      <c r="B6" s="188" t="n">
        <f aca="false">H10</f>
        <v>962530109.311459</v>
      </c>
      <c r="C6" s="189"/>
      <c r="D6" s="188" t="n">
        <f aca="false">H27</f>
        <v>106978402.303832</v>
      </c>
      <c r="E6" s="189"/>
      <c r="F6" s="188" t="n">
        <f aca="false">L34</f>
        <v>144694068.720023</v>
      </c>
      <c r="G6" s="189"/>
      <c r="H6" s="190" t="n">
        <f aca="false">L38</f>
        <v>2696934.51186131</v>
      </c>
      <c r="I6" s="189"/>
      <c r="J6" s="188" t="n">
        <f aca="false">B6+D6-F6-H6</f>
        <v>922117508.383407</v>
      </c>
    </row>
    <row r="8" customFormat="false" ht="33" hidden="false" customHeight="true" outlineLevel="0" collapsed="false">
      <c r="A8" s="191" t="s">
        <v>233</v>
      </c>
      <c r="B8" s="191"/>
      <c r="C8" s="191"/>
      <c r="D8" s="191"/>
      <c r="E8" s="191"/>
      <c r="F8" s="191"/>
      <c r="G8" s="191"/>
      <c r="H8" s="191"/>
      <c r="I8" s="191"/>
      <c r="J8" s="191"/>
    </row>
    <row r="9" customFormat="false" ht="57.75" hidden="false" customHeight="true" outlineLevel="0" collapsed="false">
      <c r="A9" s="166"/>
      <c r="B9" s="50" t="s">
        <v>234</v>
      </c>
      <c r="C9" s="187" t="s">
        <v>177</v>
      </c>
      <c r="D9" s="50" t="s">
        <v>235</v>
      </c>
      <c r="E9" s="187" t="s">
        <v>177</v>
      </c>
      <c r="F9" s="50" t="s">
        <v>168</v>
      </c>
      <c r="G9" s="187" t="s">
        <v>69</v>
      </c>
      <c r="H9" s="113" t="s">
        <v>151</v>
      </c>
      <c r="I9" s="175"/>
      <c r="J9" s="175"/>
    </row>
    <row r="10" customFormat="false" ht="12.75" hidden="false" customHeight="true" outlineLevel="0" collapsed="false">
      <c r="A10" s="166"/>
      <c r="B10" s="192" t="n">
        <f aca="false">IF(AND('Beginning of Year Input'!G5*'Beginning of Year Input'!G8&gt;=SUM('End of Year Input'!E24:E33)),'Beginning of Year Input'!G5*'Beginning of Year Input'!G8,SUM('End of Year Input'!E24:E33))</f>
        <v>1071000</v>
      </c>
      <c r="C10" s="175"/>
      <c r="D10" s="192" t="n">
        <f aca="false">IF(AND(D23&gt;1080),1080,IF(AND(D23&lt;=0),806.6,D23))</f>
        <v>1062.36714443219</v>
      </c>
      <c r="E10" s="175"/>
      <c r="F10" s="193" t="n">
        <f aca="false">'Estimated Monthly Demand Charge'!B11*'Estimated Monthly Demand Charge'!D11</f>
        <v>0.845960766423358</v>
      </c>
      <c r="G10" s="175"/>
      <c r="H10" s="194" t="n">
        <f aca="false">B10*D10*F10</f>
        <v>962530109.311459</v>
      </c>
      <c r="I10" s="175"/>
      <c r="J10" s="22" t="s">
        <v>236</v>
      </c>
    </row>
    <row r="11" customFormat="false" ht="12.75" hidden="false" customHeight="true" outlineLevel="0" collapsed="false">
      <c r="A11" s="166"/>
      <c r="B11" s="175"/>
      <c r="C11" s="175"/>
      <c r="D11" s="192"/>
      <c r="E11" s="175"/>
      <c r="F11" s="195"/>
      <c r="G11" s="175"/>
      <c r="H11" s="175"/>
      <c r="I11" s="175"/>
      <c r="J11" s="0" t="s">
        <v>237</v>
      </c>
    </row>
    <row r="12" customFormat="false" ht="48" hidden="false" customHeight="true" outlineLevel="0" collapsed="false">
      <c r="A12" s="166"/>
      <c r="B12" s="50" t="s">
        <v>125</v>
      </c>
      <c r="C12" s="175"/>
      <c r="D12" s="50" t="s">
        <v>238</v>
      </c>
      <c r="E12" s="175"/>
      <c r="F12" s="195"/>
      <c r="G12" s="175"/>
      <c r="H12" s="175"/>
      <c r="I12" s="175"/>
      <c r="J12" s="175"/>
    </row>
    <row r="13" customFormat="false" ht="12.75" hidden="false" customHeight="true" outlineLevel="0" collapsed="false">
      <c r="A13" s="166"/>
      <c r="B13" s="196" t="str">
        <f aca="false">'End of Year Input'!C24</f>
        <v>1-01</v>
      </c>
      <c r="C13" s="175"/>
      <c r="D13" s="192" t="n">
        <f aca="false">'End of Year Input'!E24*'End of Year Input'!G24</f>
        <v>119840000</v>
      </c>
      <c r="E13" s="175"/>
      <c r="F13" s="195"/>
      <c r="G13" s="175"/>
      <c r="H13" s="175"/>
      <c r="I13" s="175"/>
      <c r="J13" s="175"/>
    </row>
    <row r="14" customFormat="false" ht="12.75" hidden="false" customHeight="true" outlineLevel="0" collapsed="false">
      <c r="A14" s="166"/>
      <c r="B14" s="196" t="str">
        <f aca="false">'End of Year Input'!C25</f>
        <v>1-02</v>
      </c>
      <c r="C14" s="175"/>
      <c r="D14" s="192" t="n">
        <f aca="false">'End of Year Input'!E25*'End of Year Input'!G25</f>
        <v>118720000</v>
      </c>
      <c r="E14" s="175"/>
      <c r="F14" s="195"/>
      <c r="G14" s="175"/>
      <c r="H14" s="175"/>
      <c r="I14" s="175"/>
      <c r="J14" s="175"/>
    </row>
    <row r="15" customFormat="false" ht="12.75" hidden="false" customHeight="true" outlineLevel="0" collapsed="false">
      <c r="A15" s="166"/>
      <c r="B15" s="196" t="str">
        <f aca="false">'End of Year Input'!C26</f>
        <v>1-03</v>
      </c>
      <c r="C15" s="175"/>
      <c r="D15" s="192" t="n">
        <f aca="false">'End of Year Input'!E26*'End of Year Input'!G26</f>
        <v>120736000</v>
      </c>
      <c r="E15" s="175"/>
      <c r="F15" s="195"/>
      <c r="G15" s="175"/>
      <c r="H15" s="175"/>
      <c r="I15" s="175"/>
      <c r="J15" s="175"/>
    </row>
    <row r="16" customFormat="false" ht="12.75" hidden="false" customHeight="true" outlineLevel="0" collapsed="false">
      <c r="A16" s="166"/>
      <c r="B16" s="196" t="str">
        <f aca="false">'End of Year Input'!C27</f>
        <v>1-04</v>
      </c>
      <c r="C16" s="175"/>
      <c r="D16" s="192" t="n">
        <f aca="false">'End of Year Input'!E27*'End of Year Input'!G27</f>
        <v>123656000</v>
      </c>
      <c r="E16" s="175"/>
      <c r="F16" s="195"/>
      <c r="G16" s="175"/>
      <c r="H16" s="175"/>
      <c r="I16" s="175"/>
      <c r="J16" s="175"/>
    </row>
    <row r="17" customFormat="false" ht="12.75" hidden="false" customHeight="true" outlineLevel="0" collapsed="false">
      <c r="A17" s="166"/>
      <c r="B17" s="196" t="str">
        <f aca="false">'End of Year Input'!C28</f>
        <v>1-05</v>
      </c>
      <c r="C17" s="175"/>
      <c r="D17" s="192" t="n">
        <f aca="false">'End of Year Input'!E28*'End of Year Input'!G28</f>
        <v>119944000</v>
      </c>
      <c r="E17" s="175"/>
      <c r="F17" s="195"/>
      <c r="G17" s="175"/>
      <c r="H17" s="175"/>
      <c r="I17" s="175"/>
      <c r="J17" s="175"/>
    </row>
    <row r="18" customFormat="false" ht="12.75" hidden="false" customHeight="true" outlineLevel="0" collapsed="false">
      <c r="A18" s="166"/>
      <c r="B18" s="196" t="str">
        <f aca="false">'End of Year Input'!C29</f>
        <v>1-06</v>
      </c>
      <c r="C18" s="175"/>
      <c r="D18" s="192" t="n">
        <f aca="false">'End of Year Input'!E29*'End of Year Input'!G29</f>
        <v>119130000</v>
      </c>
      <c r="E18" s="175"/>
      <c r="F18" s="195"/>
      <c r="G18" s="175"/>
      <c r="H18" s="175"/>
      <c r="I18" s="175"/>
      <c r="J18" s="175"/>
    </row>
    <row r="19" customFormat="false" ht="12.75" hidden="false" customHeight="true" outlineLevel="0" collapsed="false">
      <c r="A19" s="166"/>
      <c r="B19" s="196" t="str">
        <f aca="false">'End of Year Input'!C30</f>
        <v>1-07</v>
      </c>
      <c r="C19" s="175"/>
      <c r="D19" s="192" t="n">
        <f aca="false">'End of Year Input'!E30*'End of Year Input'!G30</f>
        <v>121701000</v>
      </c>
      <c r="E19" s="175"/>
      <c r="F19" s="195"/>
      <c r="G19" s="175"/>
      <c r="H19" s="175"/>
      <c r="I19" s="175"/>
      <c r="J19" s="175"/>
    </row>
    <row r="20" customFormat="false" ht="12.75" hidden="false" customHeight="true" outlineLevel="0" collapsed="false">
      <c r="A20" s="166"/>
      <c r="B20" s="196" t="str">
        <f aca="false">'End of Year Input'!C31</f>
        <v>1-08</v>
      </c>
      <c r="C20" s="175"/>
      <c r="D20" s="192" t="n">
        <f aca="false">'End of Year Input'!E31*'End of Year Input'!G31</f>
        <v>119840000</v>
      </c>
      <c r="E20" s="175"/>
      <c r="F20" s="195"/>
      <c r="G20" s="175"/>
      <c r="H20" s="175"/>
      <c r="I20" s="175"/>
      <c r="J20" s="175"/>
    </row>
    <row r="21" customFormat="false" ht="12.75" hidden="false" customHeight="true" outlineLevel="0" collapsed="false">
      <c r="A21" s="166"/>
      <c r="B21" s="196" t="str">
        <f aca="false">'End of Year Input'!C32</f>
        <v>1-09</v>
      </c>
      <c r="C21" s="175"/>
      <c r="D21" s="192" t="n">
        <f aca="false">'End of Year Input'!E32*'End of Year Input'!G32</f>
        <v>0</v>
      </c>
      <c r="E21" s="175"/>
      <c r="F21" s="195"/>
      <c r="G21" s="175"/>
      <c r="H21" s="175"/>
      <c r="I21" s="175"/>
      <c r="J21" s="175"/>
    </row>
    <row r="22" customFormat="false" ht="12.75" hidden="false" customHeight="true" outlineLevel="0" collapsed="false">
      <c r="A22" s="166"/>
      <c r="B22" s="196" t="str">
        <f aca="false">'End of Year Input'!C33</f>
        <v>1-10</v>
      </c>
      <c r="C22" s="175"/>
      <c r="D22" s="197" t="n">
        <f aca="false">'End of Year Input'!E33*'End of Year Input'!G33</f>
        <v>0</v>
      </c>
      <c r="E22" s="175"/>
      <c r="F22" s="195"/>
      <c r="G22" s="175"/>
      <c r="H22" s="175"/>
      <c r="I22" s="175"/>
      <c r="J22" s="175"/>
    </row>
    <row r="23" customFormat="false" ht="12" hidden="false" customHeight="true" outlineLevel="0" collapsed="false">
      <c r="D23" s="198" t="n">
        <f aca="false">SUM(D13:D22)/SUM('End of Year Input'!E24:E33)</f>
        <v>1062.36714443219</v>
      </c>
    </row>
    <row r="24" customFormat="false" ht="12" hidden="false" customHeight="true" outlineLevel="0" collapsed="false">
      <c r="D24" s="199"/>
    </row>
    <row r="25" customFormat="false" ht="39" hidden="false" customHeight="true" outlineLevel="0" collapsed="false">
      <c r="A25" s="132" t="s">
        <v>239</v>
      </c>
      <c r="B25" s="132"/>
      <c r="C25" s="132"/>
      <c r="D25" s="132"/>
      <c r="E25" s="132"/>
      <c r="F25" s="132"/>
      <c r="G25" s="132"/>
      <c r="H25" s="132"/>
      <c r="I25" s="132"/>
      <c r="J25" s="132"/>
    </row>
    <row r="26" customFormat="false" ht="56.25" hidden="false" customHeight="true" outlineLevel="0" collapsed="false">
      <c r="A26" s="200"/>
      <c r="B26" s="50" t="s">
        <v>240</v>
      </c>
      <c r="C26" s="201" t="s">
        <v>241</v>
      </c>
      <c r="D26" s="50" t="s">
        <v>242</v>
      </c>
      <c r="E26" s="187" t="s">
        <v>177</v>
      </c>
      <c r="F26" s="50" t="s">
        <v>170</v>
      </c>
      <c r="G26" s="187" t="s">
        <v>69</v>
      </c>
      <c r="H26" s="113" t="s">
        <v>153</v>
      </c>
    </row>
    <row r="27" customFormat="false" ht="12.75" hidden="false" customHeight="true" outlineLevel="0" collapsed="false">
      <c r="A27" s="200"/>
      <c r="B27" s="192" t="n">
        <f aca="false">IF(AND('Beginning of Year Input'!G8&gt;'End of Year Input'!G35),'Beginning of Year Input'!G8,'End of Year Input'!G35)</f>
        <v>119000</v>
      </c>
      <c r="C27" s="202"/>
      <c r="D27" s="203" t="n">
        <f aca="false">IF(AND('End of Year Input'!G37&gt;1080),1080,IF(AND('End of Year Input'!G37&lt;=0),806.6,('End of Year Input'!G37)))</f>
        <v>1070</v>
      </c>
      <c r="E27" s="196"/>
      <c r="F27" s="204" t="n">
        <f aca="false">'Estimated Monthly Demand Charge'!B16*'Estimated Monthly Demand Charge'!D16</f>
        <v>0.84016651459854</v>
      </c>
      <c r="G27" s="196"/>
      <c r="H27" s="194" t="n">
        <f aca="false">B27*D27*F27</f>
        <v>106978402.303832</v>
      </c>
    </row>
    <row r="32" customFormat="false" ht="54" hidden="false" customHeight="true" outlineLevel="0" collapsed="false">
      <c r="A32" s="132" t="s">
        <v>243</v>
      </c>
      <c r="B32" s="132"/>
      <c r="C32" s="132"/>
      <c r="D32" s="132"/>
      <c r="E32" s="132"/>
      <c r="F32" s="132"/>
      <c r="G32" s="132"/>
      <c r="H32" s="132"/>
      <c r="I32" s="132"/>
      <c r="J32" s="132"/>
    </row>
    <row r="33" customFormat="false" ht="60.75" hidden="false" customHeight="true" outlineLevel="0" collapsed="false">
      <c r="A33" s="200" t="s">
        <v>196</v>
      </c>
      <c r="B33" s="50" t="s">
        <v>244</v>
      </c>
      <c r="C33" s="187" t="s">
        <v>201</v>
      </c>
      <c r="D33" s="156" t="s">
        <v>245</v>
      </c>
      <c r="E33" s="187" t="s">
        <v>201</v>
      </c>
      <c r="F33" s="50" t="s">
        <v>246</v>
      </c>
      <c r="G33" s="44" t="s">
        <v>247</v>
      </c>
      <c r="H33" s="50" t="s">
        <v>235</v>
      </c>
      <c r="I33" s="187" t="s">
        <v>177</v>
      </c>
      <c r="J33" s="50" t="s">
        <v>168</v>
      </c>
      <c r="K33" s="187" t="s">
        <v>69</v>
      </c>
      <c r="L33" s="113" t="s">
        <v>230</v>
      </c>
    </row>
    <row r="34" customFormat="false" ht="12.75" hidden="false" customHeight="true" outlineLevel="0" collapsed="false">
      <c r="A34" s="200"/>
      <c r="B34" s="192" t="n">
        <f aca="false">('Beginning of Year Input'!G5*'Beginning of Year Input'!G8)</f>
        <v>1071000</v>
      </c>
      <c r="C34" s="196"/>
      <c r="D34" s="192" t="n">
        <f aca="false">SUM('End of Year Input'!E24:E33)</f>
        <v>907000</v>
      </c>
      <c r="E34" s="196"/>
      <c r="F34" s="205" t="n">
        <f aca="false">'End of Year Input'!C41+'End of Year Input'!E41+'End of Year Input'!G41</f>
        <v>3000</v>
      </c>
      <c r="G34" s="67"/>
      <c r="H34" s="206" t="n">
        <f aca="false">IF(AND(D23&gt;1080),1080,IF(AND(D23&lt;=0),806.6,D23))</f>
        <v>1062.36714443219</v>
      </c>
      <c r="I34" s="196"/>
      <c r="J34" s="204" t="n">
        <f aca="false">'Estimated Monthly Demand Charge'!B11*'Estimated Monthly Demand Charge'!D11</f>
        <v>0.845960766423358</v>
      </c>
      <c r="K34" s="196"/>
      <c r="L34" s="207" t="n">
        <f aca="false">(B34-D34-F34)*H34*J34</f>
        <v>144694068.720023</v>
      </c>
    </row>
    <row r="35" customFormat="false" ht="12.75" hidden="false" customHeight="false" outlineLevel="0" collapsed="false">
      <c r="I35" s="79"/>
    </row>
    <row r="36" customFormat="false" ht="63.75" hidden="false" customHeight="true" outlineLevel="0" collapsed="false">
      <c r="A36" s="132" t="s">
        <v>248</v>
      </c>
      <c r="B36" s="132"/>
      <c r="C36" s="132"/>
      <c r="D36" s="132"/>
      <c r="E36" s="132"/>
      <c r="F36" s="132"/>
      <c r="G36" s="132"/>
      <c r="H36" s="132"/>
      <c r="I36" s="132"/>
      <c r="J36" s="132"/>
    </row>
    <row r="37" customFormat="false" ht="67.5" hidden="false" customHeight="false" outlineLevel="0" collapsed="false">
      <c r="A37" s="200" t="s">
        <v>196</v>
      </c>
      <c r="B37" s="50" t="s">
        <v>249</v>
      </c>
      <c r="C37" s="187" t="s">
        <v>201</v>
      </c>
      <c r="D37" s="156" t="s">
        <v>250</v>
      </c>
      <c r="E37" s="187" t="s">
        <v>152</v>
      </c>
      <c r="F37" s="50" t="s">
        <v>251</v>
      </c>
      <c r="G37" s="44" t="s">
        <v>247</v>
      </c>
      <c r="H37" s="50" t="s">
        <v>252</v>
      </c>
      <c r="I37" s="187" t="s">
        <v>177</v>
      </c>
      <c r="J37" s="50" t="s">
        <v>170</v>
      </c>
      <c r="K37" s="187" t="s">
        <v>69</v>
      </c>
      <c r="L37" s="113" t="s">
        <v>231</v>
      </c>
    </row>
    <row r="38" customFormat="false" ht="12.75" hidden="false" customHeight="false" outlineLevel="0" collapsed="false">
      <c r="B38" s="27" t="n">
        <f aca="false">'Beginning of Year Input'!G8</f>
        <v>119000</v>
      </c>
      <c r="C38" s="20"/>
      <c r="D38" s="27" t="n">
        <f aca="false">'End of Year Input'!G35</f>
        <v>119000</v>
      </c>
      <c r="E38" s="20"/>
      <c r="F38" s="27" t="n">
        <f aca="false">'End of Year Input'!C45+'End of Year Input'!E45+'End of Year Input'!G45</f>
        <v>3000</v>
      </c>
      <c r="G38" s="20"/>
      <c r="H38" s="203" t="n">
        <f aca="false">IF(AND('End of Year Input'!G37&gt;1080),1080,IF(AND('End of Year Input'!G37&lt;=0),806.6,('End of Year Input'!G37)))</f>
        <v>1070</v>
      </c>
      <c r="I38" s="20"/>
      <c r="J38" s="208" t="n">
        <f aca="false">'Estimated Monthly Demand Charge'!B16*'Estimated Monthly Demand Charge'!D16</f>
        <v>0.84016651459854</v>
      </c>
      <c r="K38" s="20"/>
      <c r="L38" s="207" t="n">
        <f aca="false">(B38-D38+F38)*H38*J38</f>
        <v>2696934.51186131</v>
      </c>
    </row>
    <row r="40" customFormat="false" ht="24.75" hidden="false" customHeight="true" outlineLevel="0" collapsed="false">
      <c r="A40" s="209" t="s">
        <v>253</v>
      </c>
      <c r="B40" s="209"/>
      <c r="C40" s="209"/>
      <c r="D40" s="209"/>
      <c r="E40" s="209"/>
      <c r="F40" s="209"/>
      <c r="G40" s="209"/>
      <c r="H40" s="209"/>
      <c r="I40" s="209"/>
      <c r="J40" s="209"/>
    </row>
    <row r="41" customFormat="false" ht="12.75" hidden="false" customHeight="true" outlineLevel="0" collapsed="false">
      <c r="A41" s="175"/>
      <c r="B41" s="175"/>
      <c r="C41" s="175"/>
      <c r="D41" s="175"/>
      <c r="E41" s="175"/>
      <c r="F41" s="175"/>
      <c r="G41" s="175"/>
      <c r="H41" s="175"/>
      <c r="I41" s="175"/>
      <c r="J41" s="175"/>
    </row>
  </sheetData>
  <mergeCells count="6">
    <mergeCell ref="A2:J2"/>
    <mergeCell ref="A8:J8"/>
    <mergeCell ref="A25:J25"/>
    <mergeCell ref="A32:J32"/>
    <mergeCell ref="A36:J36"/>
    <mergeCell ref="A40:J40"/>
  </mergeCells>
  <printOptions headings="false" gridLines="false" gridLinesSet="true" horizontalCentered="false" verticalCentered="false"/>
  <pageMargins left="0.747916666666667" right="0.747916666666667" top="0.984027777777778" bottom="0.984027777777778" header="0.5" footer="0.5"/>
  <pageSetup paperSize="1" scale="75" fitToWidth="1" fitToHeight="1" pageOrder="downThenOver" orientation="landscape" blackAndWhite="false" draft="false" cellComments="none" horizontalDpi="300" verticalDpi="300" copies="1"/>
  <headerFooter differentFirst="false" differentOddEven="false">
    <oddHeader>&amp;LEcoElectrica LP
LNG Sales Contract
Article 8 - Price
8.2 Annual Demand Charge Reconciliation</oddHeader>
    <oddFooter>&amp;LLNG Sales Contract
&amp;D
&amp;T&amp;CAnnual Demand Charge Reconciliation&amp;R&amp;P  of &amp;N</oddFooter>
  </headerFooter>
  <rowBreaks count="1" manualBreakCount="1">
    <brk id="29" man="true" max="16383" min="0"/>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J5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0.99"/>
    <col collapsed="false" customWidth="true" hidden="false" outlineLevel="0" max="2" min="2" style="0" width="19.99"/>
    <col collapsed="false" customWidth="true" hidden="false" outlineLevel="0" max="3" min="3" style="0" width="4.7"/>
    <col collapsed="false" customWidth="true" hidden="false" outlineLevel="0" max="4" min="4" style="0" width="20.99"/>
    <col collapsed="false" customWidth="true" hidden="false" outlineLevel="0" max="5" min="5" style="0" width="4.7"/>
    <col collapsed="false" customWidth="true" hidden="false" outlineLevel="0" max="6" min="6" style="0" width="16.56"/>
    <col collapsed="false" customWidth="true" hidden="false" outlineLevel="0" max="7" min="7" style="0" width="4.7"/>
    <col collapsed="false" customWidth="true" hidden="false" outlineLevel="0" max="8" min="8" style="0" width="17.42"/>
    <col collapsed="false" customWidth="true" hidden="false" outlineLevel="0" max="9" min="9" style="0" width="4.7"/>
    <col collapsed="false" customWidth="true" hidden="false" outlineLevel="0" max="10" min="10" style="0" width="17.28"/>
    <col collapsed="false" customWidth="true" hidden="false" outlineLevel="0" max="11" min="11" style="0" width="4.7"/>
    <col collapsed="false" customWidth="true" hidden="false" outlineLevel="0" max="12" min="12" style="0" width="15.7"/>
    <col collapsed="false" customWidth="true" hidden="false" outlineLevel="0" max="13" min="13" style="0" width="4.7"/>
    <col collapsed="false" customWidth="true" hidden="false" outlineLevel="0" max="14" min="14" style="0" width="13.85"/>
  </cols>
  <sheetData>
    <row r="2" customFormat="false" ht="12.75" hidden="false" customHeight="false" outlineLevel="0" collapsed="false">
      <c r="A2" s="13" t="s">
        <v>254</v>
      </c>
    </row>
    <row r="4" customFormat="false" ht="12.75" hidden="false" customHeight="true" outlineLevel="0" collapsed="false">
      <c r="A4" s="91" t="s">
        <v>255</v>
      </c>
      <c r="B4" s="91"/>
      <c r="C4" s="91"/>
      <c r="D4" s="91"/>
      <c r="E4" s="91"/>
      <c r="F4" s="91"/>
      <c r="G4" s="91"/>
      <c r="H4" s="91"/>
      <c r="I4" s="82"/>
      <c r="J4" s="82"/>
    </row>
    <row r="5" customFormat="false" ht="28.5" hidden="false" customHeight="true" outlineLevel="0" collapsed="false">
      <c r="A5" s="82"/>
      <c r="B5" s="144" t="s">
        <v>256</v>
      </c>
      <c r="C5" s="144"/>
      <c r="D5" s="82"/>
      <c r="E5" s="82"/>
      <c r="F5" s="82"/>
      <c r="G5" s="82"/>
      <c r="H5" s="82"/>
      <c r="I5" s="82"/>
      <c r="J5" s="82"/>
    </row>
    <row r="6" customFormat="false" ht="33" hidden="false" customHeight="true" outlineLevel="0" collapsed="false">
      <c r="A6" s="82"/>
      <c r="B6" s="156" t="s">
        <v>257</v>
      </c>
      <c r="C6" s="118" t="s">
        <v>201</v>
      </c>
      <c r="D6" s="50" t="s">
        <v>258</v>
      </c>
      <c r="E6" s="105" t="s">
        <v>201</v>
      </c>
      <c r="F6" s="50" t="s">
        <v>259</v>
      </c>
      <c r="G6" s="44" t="s">
        <v>69</v>
      </c>
      <c r="H6" s="50" t="str">
        <f aca="false">IF(('End of Year Input'!G8="N"),"Winter Shortfall Quantity","Winter Underdeliveries")</f>
        <v>Winter Shortfall Quantity</v>
      </c>
      <c r="I6" s="82"/>
      <c r="J6" s="82"/>
    </row>
    <row r="7" customFormat="false" ht="13.5" hidden="false" customHeight="true" outlineLevel="0" collapsed="false">
      <c r="A7" s="82"/>
      <c r="B7" s="210" t="n">
        <f aca="false">'Beginning of Year Input'!G8*0.95</f>
        <v>113050</v>
      </c>
      <c r="C7" s="84"/>
      <c r="D7" s="211" t="n">
        <f aca="false">'End of Year Input'!G4</f>
        <v>113000</v>
      </c>
      <c r="E7" s="196"/>
      <c r="F7" s="211" t="n">
        <f aca="false">'End of Year Input'!G6</f>
        <v>30</v>
      </c>
      <c r="G7" s="84"/>
      <c r="H7" s="210" t="n">
        <f aca="false">IF(OR('End of Year Input'!G8="Y",D7+F7&gt;B7),"0",(B7-D7-F7))</f>
        <v>20</v>
      </c>
      <c r="I7" s="82"/>
      <c r="J7" s="82"/>
    </row>
    <row r="8" customFormat="false" ht="12.75" hidden="false" customHeight="false" outlineLevel="0" collapsed="false">
      <c r="H8" s="93"/>
    </row>
    <row r="9" customFormat="false" ht="26.25" hidden="false" customHeight="true" outlineLevel="0" collapsed="false">
      <c r="B9" s="144" t="s">
        <v>260</v>
      </c>
      <c r="C9" s="144"/>
      <c r="D9" s="82"/>
      <c r="E9" s="82"/>
      <c r="F9" s="82"/>
      <c r="G9" s="82"/>
      <c r="H9" s="82"/>
    </row>
    <row r="10" customFormat="false" ht="37.5" hidden="false" customHeight="true" outlineLevel="0" collapsed="false">
      <c r="B10" s="212" t="s">
        <v>261</v>
      </c>
      <c r="C10" s="213" t="s">
        <v>201</v>
      </c>
      <c r="D10" s="50" t="s">
        <v>262</v>
      </c>
      <c r="E10" s="105" t="s">
        <v>201</v>
      </c>
      <c r="F10" s="50" t="s">
        <v>263</v>
      </c>
      <c r="G10" s="44" t="s">
        <v>69</v>
      </c>
      <c r="H10" s="50" t="str">
        <f aca="false">IF(('End of Year Input'!G10="N"),"Annual Shortfall Quantity","Annual Underdeliveries")</f>
        <v>Annual Shortfall Quantity</v>
      </c>
    </row>
    <row r="11" customFormat="false" ht="12.75" hidden="false" customHeight="false" outlineLevel="0" collapsed="false">
      <c r="B11" s="27" t="n">
        <f aca="false">'Beginning of Year Input'!G5*'Beginning of Year Input'!G8</f>
        <v>1071000</v>
      </c>
      <c r="C11" s="1"/>
      <c r="D11" s="210" t="n">
        <f aca="false">SUM('End of Year Input'!E24:E33)</f>
        <v>907000</v>
      </c>
      <c r="E11" s="84"/>
      <c r="F11" s="210" t="n">
        <f aca="false">H7</f>
        <v>20</v>
      </c>
      <c r="G11" s="196"/>
      <c r="H11" s="210" t="n">
        <f aca="false">IF(OR('End of Year Input'!G10="Y",D11+F11&gt;B11),"0",(B11-D11-F11))</f>
        <v>163980</v>
      </c>
    </row>
    <row r="12" customFormat="false" ht="12.75" hidden="false" customHeight="false" outlineLevel="0" collapsed="false">
      <c r="B12" s="27"/>
      <c r="C12" s="1"/>
      <c r="D12" s="210"/>
      <c r="E12" s="84"/>
      <c r="F12" s="210"/>
      <c r="G12" s="196"/>
      <c r="H12" s="210"/>
    </row>
    <row r="13" customFormat="false" ht="18.75" hidden="false" customHeight="true" outlineLevel="0" collapsed="false">
      <c r="A13" s="1" t="s">
        <v>264</v>
      </c>
    </row>
    <row r="14" customFormat="false" ht="12.75" hidden="false" customHeight="true" outlineLevel="0" collapsed="false">
      <c r="A14" s="214" t="s">
        <v>265</v>
      </c>
      <c r="B14" s="214"/>
      <c r="C14" s="214"/>
      <c r="D14" s="214"/>
      <c r="E14" s="214"/>
      <c r="F14" s="214"/>
    </row>
    <row r="15" customFormat="false" ht="48.75" hidden="false" customHeight="true" outlineLevel="0" collapsed="false">
      <c r="B15" s="50" t="s">
        <v>266</v>
      </c>
      <c r="C15" s="1" t="s">
        <v>241</v>
      </c>
      <c r="D15" s="215" t="s">
        <v>267</v>
      </c>
      <c r="E15" s="114" t="s">
        <v>69</v>
      </c>
      <c r="F15" s="50" t="s">
        <v>268</v>
      </c>
    </row>
    <row r="16" customFormat="false" ht="12.75" hidden="false" customHeight="false" outlineLevel="0" collapsed="false">
      <c r="B16" s="216" t="n">
        <f aca="false">IF(AND('End of Year Input'!$G35=0),(22.84/35.31),('End of Year Input'!$G37/35.31))</f>
        <v>30.3030303030303</v>
      </c>
      <c r="D16" s="143" t="n">
        <f aca="false">'End of Year Input'!$G49</f>
        <v>0.43</v>
      </c>
      <c r="F16" s="12" t="n">
        <f aca="false">$B16*$D16</f>
        <v>13.030303030303</v>
      </c>
      <c r="J16" s="22" t="s">
        <v>269</v>
      </c>
    </row>
    <row r="17" customFormat="false" ht="18" hidden="false" customHeight="true" outlineLevel="0" collapsed="false">
      <c r="A17" s="214" t="s">
        <v>270</v>
      </c>
      <c r="B17" s="214"/>
      <c r="C17" s="214"/>
      <c r="D17" s="214"/>
      <c r="E17" s="214"/>
      <c r="F17" s="214"/>
    </row>
    <row r="18" customFormat="false" ht="36" hidden="false" customHeight="true" outlineLevel="0" collapsed="false">
      <c r="B18" s="50" t="s">
        <v>271</v>
      </c>
      <c r="C18" s="1" t="s">
        <v>241</v>
      </c>
      <c r="D18" s="50" t="s">
        <v>267</v>
      </c>
      <c r="E18" s="114" t="s">
        <v>69</v>
      </c>
      <c r="F18" s="50" t="s">
        <v>272</v>
      </c>
    </row>
    <row r="19" customFormat="false" ht="12.75" hidden="false" customHeight="false" outlineLevel="0" collapsed="false">
      <c r="B19" s="216" t="n">
        <f aca="false">IF(AND(SUM('End of Year Input'!$E24:$E33)=0),(22.84/35.31),('Annual Demand Charge Rec'!D23/35.315))</f>
        <v>30.0826035518107</v>
      </c>
      <c r="D19" s="143" t="n">
        <f aca="false">'End of Year Input'!$G49</f>
        <v>0.43</v>
      </c>
      <c r="F19" s="3" t="n">
        <f aca="false">$B19*$D19</f>
        <v>12.9355195272786</v>
      </c>
      <c r="J19" s="22" t="s">
        <v>269</v>
      </c>
    </row>
    <row r="20" customFormat="false" ht="12.75" hidden="false" customHeight="true" outlineLevel="0" collapsed="false"/>
    <row r="21" customFormat="false" ht="12.75" hidden="false" customHeight="false" outlineLevel="0" collapsed="false">
      <c r="A21" s="1" t="s">
        <v>273</v>
      </c>
    </row>
    <row r="22" customFormat="false" ht="14.25" hidden="false" customHeight="true" outlineLevel="0" collapsed="false">
      <c r="A22" s="214" t="s">
        <v>274</v>
      </c>
      <c r="B22" s="214"/>
      <c r="C22" s="214"/>
      <c r="D22" s="214"/>
      <c r="E22" s="214"/>
      <c r="F22" s="214"/>
    </row>
    <row r="23" customFormat="false" ht="45" hidden="false" customHeight="false" outlineLevel="0" collapsed="false">
      <c r="B23" s="50" t="s">
        <v>266</v>
      </c>
      <c r="C23" s="1" t="s">
        <v>241</v>
      </c>
      <c r="D23" s="215" t="s">
        <v>275</v>
      </c>
      <c r="E23" s="114" t="s">
        <v>69</v>
      </c>
      <c r="F23" s="49" t="s">
        <v>276</v>
      </c>
    </row>
    <row r="24" customFormat="false" ht="12.75" hidden="false" customHeight="false" outlineLevel="0" collapsed="false">
      <c r="B24" s="216" t="n">
        <f aca="false">IF(AND('End of Year Input'!$G35=0),(22.84/35.31),('End of Year Input'!$G37/35.31))</f>
        <v>30.3030303030303</v>
      </c>
      <c r="D24" s="143" t="n">
        <f aca="false">('Estimated Monthly Demand Charge'!$B11*'Estimated Monthly Demand Charge'!$D11)+'Commodity Charge'!$F10</f>
        <v>4.3290603892944</v>
      </c>
      <c r="F24" s="12" t="n">
        <f aca="false">$B24*$D24</f>
        <v>131.183648160436</v>
      </c>
    </row>
    <row r="25" customFormat="false" ht="12.75" hidden="false" customHeight="true" outlineLevel="0" collapsed="false">
      <c r="B25" s="216"/>
      <c r="D25" s="143"/>
      <c r="F25" s="12"/>
    </row>
    <row r="26" customFormat="false" ht="14.25" hidden="false" customHeight="true" outlineLevel="0" collapsed="false">
      <c r="A26" s="214" t="s">
        <v>277</v>
      </c>
      <c r="B26" s="214"/>
      <c r="C26" s="214"/>
      <c r="D26" s="214"/>
      <c r="E26" s="214"/>
      <c r="F26" s="214"/>
    </row>
    <row r="27" customFormat="false" ht="22.5" hidden="false" customHeight="false" outlineLevel="0" collapsed="false">
      <c r="B27" s="217" t="s">
        <v>271</v>
      </c>
      <c r="C27" s="1" t="s">
        <v>241</v>
      </c>
      <c r="D27" s="50" t="s">
        <v>278</v>
      </c>
      <c r="E27" s="114" t="s">
        <v>69</v>
      </c>
      <c r="F27" s="212" t="s">
        <v>279</v>
      </c>
    </row>
    <row r="28" customFormat="false" ht="12.75" hidden="false" customHeight="false" outlineLevel="0" collapsed="false">
      <c r="B28" s="216" t="n">
        <f aca="false">IF(AND(SUM('End of Year Input'!$E23:$E31)=0),(22.84/35.31),('Annual Demand Charge Rec'!D23/35.315))</f>
        <v>30.0826035518107</v>
      </c>
      <c r="D28" s="143" t="n">
        <f aca="false">'Commodity Charge'!$B10</f>
        <v>3.48309962287105</v>
      </c>
      <c r="F28" s="3" t="n">
        <f aca="false">$B28*$D28</f>
        <v>104.780705086291</v>
      </c>
    </row>
    <row r="29" customFormat="false" ht="12.75" hidden="false" customHeight="false" outlineLevel="0" collapsed="false">
      <c r="B29" s="216"/>
      <c r="D29" s="143"/>
      <c r="F29" s="3"/>
    </row>
    <row r="30" customFormat="false" ht="12.75" hidden="false" customHeight="false" outlineLevel="0" collapsed="false">
      <c r="B30" s="216"/>
      <c r="D30" s="143"/>
      <c r="F30" s="3"/>
    </row>
    <row r="31" customFormat="false" ht="12.75" hidden="false" customHeight="false" outlineLevel="0" collapsed="false">
      <c r="B31" s="216"/>
      <c r="D31" s="143"/>
      <c r="F31" s="3"/>
    </row>
    <row r="32" customFormat="false" ht="12.75" hidden="false" customHeight="false" outlineLevel="0" collapsed="false">
      <c r="B32" s="216"/>
      <c r="D32" s="143"/>
      <c r="F32" s="3"/>
    </row>
    <row r="33" customFormat="false" ht="12.75" hidden="false" customHeight="false" outlineLevel="0" collapsed="false">
      <c r="B33" s="216"/>
      <c r="D33" s="143"/>
      <c r="F33" s="3"/>
    </row>
    <row r="34" customFormat="false" ht="12.75" hidden="false" customHeight="true" outlineLevel="0" collapsed="false">
      <c r="A34" s="214" t="s">
        <v>280</v>
      </c>
      <c r="B34" s="214"/>
      <c r="C34" s="214"/>
      <c r="D34" s="214"/>
      <c r="E34" s="214"/>
      <c r="F34" s="214"/>
    </row>
    <row r="35" customFormat="false" ht="33.75" hidden="false" customHeight="false" outlineLevel="0" collapsed="false">
      <c r="B35" s="50" t="s">
        <v>268</v>
      </c>
      <c r="C35" s="118" t="s">
        <v>201</v>
      </c>
      <c r="D35" s="49" t="s">
        <v>276</v>
      </c>
      <c r="E35" s="114" t="s">
        <v>69</v>
      </c>
      <c r="F35" s="50" t="s">
        <v>281</v>
      </c>
    </row>
    <row r="36" customFormat="false" ht="12.75" hidden="false" customHeight="false" outlineLevel="0" collapsed="false">
      <c r="B36" s="12" t="n">
        <f aca="false">$F16</f>
        <v>13.030303030303</v>
      </c>
      <c r="C36" s="213"/>
      <c r="D36" s="12" t="n">
        <f aca="false">$F24</f>
        <v>131.183648160436</v>
      </c>
      <c r="F36" s="3" t="n">
        <f aca="false">$B36-$D36</f>
        <v>-118.153345130133</v>
      </c>
    </row>
    <row r="37" customFormat="false" ht="12.75" hidden="false" customHeight="false" outlineLevel="0" collapsed="false">
      <c r="B37" s="12"/>
      <c r="C37" s="213"/>
      <c r="D37" s="12"/>
      <c r="F37" s="3"/>
    </row>
    <row r="38" customFormat="false" ht="12.75" hidden="false" customHeight="true" outlineLevel="0" collapsed="false">
      <c r="A38" s="214" t="s">
        <v>282</v>
      </c>
      <c r="B38" s="214"/>
      <c r="C38" s="214"/>
      <c r="D38" s="214"/>
      <c r="E38" s="214"/>
      <c r="F38" s="214"/>
    </row>
    <row r="39" customFormat="false" ht="35.25" hidden="false" customHeight="true" outlineLevel="0" collapsed="false">
      <c r="B39" s="50" t="s">
        <v>272</v>
      </c>
      <c r="C39" s="118" t="s">
        <v>201</v>
      </c>
      <c r="D39" s="49" t="s">
        <v>279</v>
      </c>
      <c r="E39" s="114" t="s">
        <v>69</v>
      </c>
      <c r="F39" s="50" t="s">
        <v>283</v>
      </c>
    </row>
    <row r="40" customFormat="false" ht="12.75" hidden="false" customHeight="false" outlineLevel="0" collapsed="false">
      <c r="B40" s="3" t="n">
        <f aca="false">$F19</f>
        <v>12.9355195272786</v>
      </c>
      <c r="D40" s="3" t="n">
        <f aca="false">$F28</f>
        <v>104.780705086291</v>
      </c>
      <c r="F40" s="3" t="n">
        <f aca="false">$B40-$D40</f>
        <v>-91.8451855590124</v>
      </c>
    </row>
    <row r="41" customFormat="false" ht="12.75" hidden="false" customHeight="true" outlineLevel="0" collapsed="false">
      <c r="A41" s="214" t="s">
        <v>284</v>
      </c>
      <c r="B41" s="214"/>
      <c r="C41" s="214"/>
      <c r="D41" s="214"/>
      <c r="E41" s="214"/>
      <c r="F41" s="214"/>
    </row>
    <row r="42" customFormat="false" ht="45" hidden="false" customHeight="false" outlineLevel="0" collapsed="false">
      <c r="B42" s="50" t="s">
        <v>281</v>
      </c>
      <c r="C42" s="114" t="s">
        <v>152</v>
      </c>
      <c r="D42" s="50" t="s">
        <v>283</v>
      </c>
      <c r="E42" s="79" t="s">
        <v>69</v>
      </c>
      <c r="F42" s="50" t="s">
        <v>285</v>
      </c>
    </row>
    <row r="43" customFormat="false" ht="12.75" hidden="false" customHeight="false" outlineLevel="0" collapsed="false">
      <c r="B43" s="3" t="n">
        <f aca="false">$F36</f>
        <v>-118.153345130133</v>
      </c>
      <c r="D43" s="3" t="n">
        <f aca="false">$F40</f>
        <v>-91.8451855590124</v>
      </c>
      <c r="F43" s="3" t="n">
        <f aca="false">$B43+$D43</f>
        <v>-209.998530689146</v>
      </c>
    </row>
    <row r="45" customFormat="false" ht="12.75" hidden="false" customHeight="false" outlineLevel="0" collapsed="false">
      <c r="B45" s="213" t="s">
        <v>286</v>
      </c>
      <c r="E45" s="79" t="s">
        <v>69</v>
      </c>
      <c r="F45" s="2" t="n">
        <f aca="false">'End of Year Input'!$G14</f>
        <v>33</v>
      </c>
    </row>
    <row r="47" customFormat="false" ht="12.75" hidden="false" customHeight="false" outlineLevel="0" collapsed="false">
      <c r="B47" s="21" t="s">
        <v>287</v>
      </c>
      <c r="E47" s="79" t="s">
        <v>69</v>
      </c>
      <c r="F47" s="2" t="n">
        <f aca="false">IF(AND($F43-$F45&lt;=0),0,($F43-$F45))</f>
        <v>0</v>
      </c>
    </row>
    <row r="53" customFormat="false" ht="12.75" hidden="false" customHeight="true" outlineLevel="0" collapsed="false">
      <c r="A53" s="77" t="s">
        <v>288</v>
      </c>
      <c r="B53" s="77"/>
      <c r="C53" s="77"/>
      <c r="D53" s="77"/>
      <c r="E53" s="77"/>
      <c r="F53" s="77"/>
      <c r="G53" s="77"/>
      <c r="H53" s="77"/>
    </row>
    <row r="55" customFormat="false" ht="12.75" hidden="false" customHeight="false" outlineLevel="0" collapsed="false">
      <c r="B55" s="1" t="s">
        <v>289</v>
      </c>
      <c r="E55" s="79" t="s">
        <v>69</v>
      </c>
      <c r="F55" s="2" t="n">
        <f aca="false">IF('End of Year Input'!G16="Y",'End of Year Input'!G18,0)</f>
        <v>1000</v>
      </c>
    </row>
    <row r="57" customFormat="false" ht="13.5" hidden="false" customHeight="false" outlineLevel="0" collapsed="false">
      <c r="B57" s="21" t="s">
        <v>290</v>
      </c>
      <c r="E57" s="79" t="s">
        <v>69</v>
      </c>
      <c r="F57" s="218" t="n">
        <f aca="false">F47+F55</f>
        <v>1000</v>
      </c>
    </row>
    <row r="58" customFormat="false" ht="13.5" hidden="false" customHeight="false" outlineLevel="0" collapsed="false"/>
  </sheetData>
  <mergeCells count="11">
    <mergeCell ref="A4:H4"/>
    <mergeCell ref="B5:C5"/>
    <mergeCell ref="B9:C9"/>
    <mergeCell ref="A14:F14"/>
    <mergeCell ref="A17:F17"/>
    <mergeCell ref="A22:F22"/>
    <mergeCell ref="A26:F26"/>
    <mergeCell ref="A34:F34"/>
    <mergeCell ref="A38:F38"/>
    <mergeCell ref="A41:F41"/>
    <mergeCell ref="A53:H53"/>
  </mergeCells>
  <printOptions headings="false" gridLines="false" gridLinesSet="true" horizontalCentered="false" verticalCentered="false"/>
  <pageMargins left="0.747916666666667" right="0.747916666666667" top="0.984027777777778" bottom="0.984027777777778" header="0.5" footer="0.5"/>
  <pageSetup paperSize="1" scale="75" fitToWidth="1" fitToHeight="1" pageOrder="downThenOver" orientation="landscape" blackAndWhite="false" draft="false" cellComments="none" horizontalDpi="300" verticalDpi="300" copies="1"/>
  <headerFooter differentFirst="false" differentOddEven="false">
    <oddHeader>&amp;LEcoElectrica LP
LNG Sales Contract
Article 8 - Price
8.2 (b) Annual Adjustments</oddHeader>
    <oddFooter>&amp;LLNG Sales Contract
&amp;D
&amp;T&amp;CAnnual Adjustments&amp;R&amp;P of &amp;N</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34" activeCellId="0" sqref="B34"/>
    </sheetView>
  </sheetViews>
  <sheetFormatPr defaultColWidth="9.0546875" defaultRowHeight="12.75" customHeight="true" zeroHeight="false" outlineLevelRow="0" outlineLevelCol="0"/>
  <sheetData>
    <row r="4" customFormat="false" ht="12.75" hidden="false" customHeight="false" outlineLevel="0" collapsed="false">
      <c r="A4" s="0" t="s">
        <v>291</v>
      </c>
    </row>
  </sheetData>
  <printOptions headings="false" gridLines="false" gridLinesSet="true" horizontalCentered="false" verticalCentered="false"/>
  <pageMargins left="0.747916666666667" right="0.747916666666667" top="0.984027777777778" bottom="0.984027777777778" header="0.5" footer="0.5"/>
  <pageSetup paperSize="1" scale="100" fitToWidth="1" fitToHeight="1" pageOrder="downThenOver" orientation="portrait" blackAndWhite="false" draft="false" cellComments="none" horizontalDpi="300" verticalDpi="300" copies="1"/>
  <headerFooter differentFirst="false" differentOddEven="false">
    <oddHeader>&amp;LEcoElectrica LP
LNG Sales Contract
When to Order 
(Optional - Not Part of Contract)</oddHeader>
    <oddFooter>&amp;LLNG Sales Contract
&amp;T
&amp;D&amp;CWhen to Order&amp;R&amp;P of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3:F2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8" activeCellId="0" sqref="B18"/>
    </sheetView>
  </sheetViews>
  <sheetFormatPr defaultColWidth="9.0546875" defaultRowHeight="12.75" customHeight="true" zeroHeight="false" outlineLevelRow="0" outlineLevelCol="0"/>
  <cols>
    <col collapsed="false" customWidth="true" hidden="false" outlineLevel="0" max="6" min="6" style="0" width="12.56"/>
  </cols>
  <sheetData>
    <row r="3" customFormat="false" ht="12.75" hidden="false" customHeight="false" outlineLevel="0" collapsed="false">
      <c r="A3" s="19"/>
      <c r="B3" s="0" t="s">
        <v>3</v>
      </c>
      <c r="F3" s="0" t="n">
        <v>1</v>
      </c>
    </row>
    <row r="4" customFormat="false" ht="12.75" hidden="false" customHeight="false" outlineLevel="0" collapsed="false">
      <c r="A4" s="19"/>
    </row>
    <row r="5" customFormat="false" ht="12.75" hidden="false" customHeight="false" outlineLevel="0" collapsed="false">
      <c r="A5" s="19"/>
      <c r="B5" s="0" t="s">
        <v>17</v>
      </c>
      <c r="F5" s="0" t="n">
        <v>1</v>
      </c>
    </row>
    <row r="6" customFormat="false" ht="12.75" hidden="false" customHeight="false" outlineLevel="0" collapsed="false">
      <c r="A6" s="19"/>
    </row>
    <row r="7" customFormat="false" ht="12.75" hidden="false" customHeight="false" outlineLevel="0" collapsed="false">
      <c r="A7" s="19" t="s">
        <v>18</v>
      </c>
      <c r="B7" s="0" t="s">
        <v>19</v>
      </c>
      <c r="F7" s="0" t="n">
        <v>10</v>
      </c>
    </row>
    <row r="8" customFormat="false" ht="12.75" hidden="false" customHeight="false" outlineLevel="0" collapsed="false">
      <c r="A8" s="19"/>
    </row>
    <row r="9" customFormat="false" ht="12.75" hidden="false" customHeight="false" outlineLevel="0" collapsed="false">
      <c r="A9" s="19"/>
      <c r="B9" s="0" t="s">
        <v>20</v>
      </c>
      <c r="F9" s="0" t="n">
        <v>1</v>
      </c>
    </row>
    <row r="10" customFormat="false" ht="12.75" hidden="false" customHeight="false" outlineLevel="0" collapsed="false">
      <c r="A10" s="19"/>
    </row>
    <row r="11" customFormat="false" ht="12.75" hidden="false" customHeight="false" outlineLevel="0" collapsed="false">
      <c r="A11" s="19" t="s">
        <v>18</v>
      </c>
      <c r="B11" s="0" t="s">
        <v>21</v>
      </c>
      <c r="F11" s="0" t="n">
        <v>12</v>
      </c>
    </row>
    <row r="12" customFormat="false" ht="12.75" hidden="false" customHeight="false" outlineLevel="0" collapsed="false">
      <c r="A12" s="19"/>
    </row>
    <row r="13" customFormat="false" ht="12.75" hidden="false" customHeight="false" outlineLevel="0" collapsed="false">
      <c r="A13" s="19"/>
      <c r="B13" s="0" t="s">
        <v>22</v>
      </c>
      <c r="F13" s="0" t="n">
        <v>1</v>
      </c>
    </row>
    <row r="14" customFormat="false" ht="12.75" hidden="false" customHeight="false" outlineLevel="0" collapsed="false">
      <c r="A14" s="19"/>
    </row>
    <row r="15" customFormat="false" ht="12.75" hidden="false" customHeight="false" outlineLevel="0" collapsed="false">
      <c r="A15" s="19" t="s">
        <v>18</v>
      </c>
      <c r="B15" s="0" t="s">
        <v>23</v>
      </c>
      <c r="F15" s="0" t="n">
        <v>10</v>
      </c>
    </row>
    <row r="16" customFormat="false" ht="12.75" hidden="false" customHeight="false" outlineLevel="0" collapsed="false">
      <c r="A16" s="19"/>
    </row>
    <row r="17" customFormat="false" ht="12.75" hidden="false" customHeight="false" outlineLevel="0" collapsed="false">
      <c r="A17" s="19" t="s">
        <v>18</v>
      </c>
      <c r="B17" s="20" t="s">
        <v>24</v>
      </c>
      <c r="F17" s="0" t="n">
        <v>10</v>
      </c>
    </row>
    <row r="18" customFormat="false" ht="12.75" hidden="false" customHeight="false" outlineLevel="0" collapsed="false">
      <c r="A18" s="19"/>
    </row>
    <row r="19" customFormat="false" ht="12.75" hidden="false" customHeight="false" outlineLevel="0" collapsed="false">
      <c r="A19" s="19" t="s">
        <v>18</v>
      </c>
      <c r="B19" s="0" t="s">
        <v>25</v>
      </c>
      <c r="F19" s="0" t="n">
        <v>10</v>
      </c>
    </row>
    <row r="20" customFormat="false" ht="12.75" hidden="false" customHeight="false" outlineLevel="0" collapsed="false">
      <c r="A20" s="19"/>
    </row>
    <row r="21" customFormat="false" ht="12.75" hidden="false" customHeight="false" outlineLevel="0" collapsed="false">
      <c r="A21" s="19"/>
      <c r="B21" s="0" t="s">
        <v>26</v>
      </c>
      <c r="F21" s="0" t="n">
        <v>1</v>
      </c>
    </row>
    <row r="22" customFormat="false" ht="12.75" hidden="false" customHeight="false" outlineLevel="0" collapsed="false">
      <c r="A22" s="19"/>
    </row>
    <row r="23" customFormat="false" ht="12.75" hidden="false" customHeight="false" outlineLevel="0" collapsed="false">
      <c r="A23" s="19"/>
      <c r="B23" s="0" t="s">
        <v>27</v>
      </c>
      <c r="F23" s="0" t="n">
        <v>1</v>
      </c>
    </row>
    <row r="24" customFormat="false" ht="12.75" hidden="false" customHeight="false" outlineLevel="0" collapsed="false">
      <c r="A24" s="19"/>
    </row>
    <row r="25" customFormat="false" ht="12.75" hidden="false" customHeight="false" outlineLevel="0" collapsed="false">
      <c r="D25" s="0" t="s">
        <v>28</v>
      </c>
      <c r="F25" s="1" t="n">
        <f aca="false">SUM(F3:F24)</f>
        <v>58</v>
      </c>
    </row>
    <row r="26" customFormat="false" ht="12.75" hidden="false" customHeight="false" outlineLevel="0" collapsed="false">
      <c r="F26" s="1"/>
    </row>
    <row r="27" customFormat="false" ht="12.75" hidden="false" customHeight="false" outlineLevel="0" collapsed="false">
      <c r="A27" s="19" t="s">
        <v>29</v>
      </c>
      <c r="B27" s="0" t="s">
        <v>30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77"/>
  <sheetViews>
    <sheetView showFormulas="false" showGridLines="true" showRowColHeaders="true" showZeros="true" rightToLeft="false" tabSelected="true" showOutlineSymbols="true" defaultGridColor="true" view="normal" topLeftCell="A73" colorId="64" zoomScale="100" zoomScaleNormal="100" zoomScalePageLayoutView="100" workbookViewId="0">
      <selection pane="topLeft" activeCell="E77" activeCellId="0" sqref="E77"/>
    </sheetView>
  </sheetViews>
  <sheetFormatPr defaultColWidth="9.0546875" defaultRowHeight="12.75" customHeight="true" zeroHeight="false" outlineLevelRow="0" outlineLevelCol="0"/>
  <cols>
    <col collapsed="false" customWidth="true" hidden="false" outlineLevel="0" max="1" min="1" style="0" width="7.85"/>
    <col collapsed="false" customWidth="true" hidden="false" outlineLevel="0" max="3" min="3" style="0" width="12.85"/>
    <col collapsed="false" customWidth="true" hidden="false" outlineLevel="0" max="4" min="4" style="0" width="9.28"/>
    <col collapsed="false" customWidth="true" hidden="false" outlineLevel="0" max="5" min="5" style="0" width="12.85"/>
    <col collapsed="false" customWidth="true" hidden="false" outlineLevel="0" max="6" min="6" style="0" width="0.85"/>
    <col collapsed="false" customWidth="true" hidden="false" outlineLevel="0" max="7" min="7" style="0" width="15.41"/>
  </cols>
  <sheetData>
    <row r="1" customFormat="false" ht="12.75" hidden="false" customHeight="false" outlineLevel="0" collapsed="false">
      <c r="A1" s="1"/>
    </row>
    <row r="2" customFormat="false" ht="12.75" hidden="false" customHeight="false" outlineLevel="0" collapsed="false">
      <c r="A2" s="1"/>
    </row>
    <row r="3" customFormat="false" ht="12.75" hidden="false" customHeight="false" outlineLevel="0" collapsed="false">
      <c r="A3" s="21" t="s">
        <v>31</v>
      </c>
    </row>
    <row r="4" customFormat="false" ht="12" hidden="false" customHeight="true" outlineLevel="0" collapsed="false">
      <c r="A4" s="1"/>
    </row>
    <row r="5" customFormat="false" ht="12.75" hidden="false" customHeight="false" outlineLevel="0" collapsed="false">
      <c r="A5" s="1"/>
      <c r="B5" s="20" t="s">
        <v>32</v>
      </c>
      <c r="F5" s="22" t="s">
        <v>33</v>
      </c>
      <c r="G5" s="23" t="n">
        <v>9</v>
      </c>
      <c r="J5" s="24"/>
      <c r="K5" s="25"/>
    </row>
    <row r="6" customFormat="false" ht="12.75" hidden="false" customHeight="false" outlineLevel="0" collapsed="false">
      <c r="A6" s="1"/>
      <c r="B6" s="20" t="s">
        <v>34</v>
      </c>
      <c r="F6" s="22"/>
      <c r="G6" s="20"/>
      <c r="J6" s="24"/>
      <c r="K6" s="25"/>
    </row>
    <row r="7" customFormat="false" ht="12.75" hidden="false" customHeight="false" outlineLevel="0" collapsed="false">
      <c r="A7" s="1"/>
      <c r="B7" s="20"/>
      <c r="F7" s="22"/>
      <c r="G7" s="20"/>
      <c r="J7" s="24"/>
      <c r="K7" s="25"/>
    </row>
    <row r="8" customFormat="false" ht="12.75" hidden="false" customHeight="false" outlineLevel="0" collapsed="false">
      <c r="A8" s="1"/>
      <c r="B8" s="20" t="s">
        <v>35</v>
      </c>
      <c r="F8" s="22" t="s">
        <v>33</v>
      </c>
      <c r="G8" s="26" t="n">
        <v>119000</v>
      </c>
      <c r="J8" s="24"/>
      <c r="K8" s="25"/>
    </row>
    <row r="9" customFormat="false" ht="12.75" hidden="false" customHeight="false" outlineLevel="0" collapsed="false">
      <c r="A9" s="1"/>
      <c r="B9" s="20"/>
      <c r="F9" s="22"/>
      <c r="G9" s="27"/>
      <c r="J9" s="24"/>
      <c r="K9" s="25"/>
    </row>
    <row r="10" customFormat="false" ht="12.75" hidden="false" customHeight="false" outlineLevel="0" collapsed="false">
      <c r="A10" s="21" t="s">
        <v>36</v>
      </c>
      <c r="G10" s="20"/>
      <c r="J10" s="24"/>
      <c r="K10" s="25"/>
    </row>
    <row r="11" customFormat="false" ht="12.75" hidden="false" customHeight="true" outlineLevel="0" collapsed="false">
      <c r="A11" s="1"/>
      <c r="G11" s="20"/>
      <c r="J11" s="24"/>
      <c r="K11" s="25"/>
    </row>
    <row r="12" customFormat="false" ht="12.75" hidden="false" customHeight="false" outlineLevel="0" collapsed="false">
      <c r="A12" s="1"/>
      <c r="B12" s="20" t="s">
        <v>37</v>
      </c>
      <c r="F12" s="22" t="s">
        <v>33</v>
      </c>
      <c r="G12" s="23" t="n">
        <v>11</v>
      </c>
      <c r="J12" s="24"/>
      <c r="K12" s="25"/>
    </row>
    <row r="13" customFormat="false" ht="12" hidden="false" customHeight="true" outlineLevel="0" collapsed="false">
      <c r="J13" s="24"/>
      <c r="K13" s="25"/>
    </row>
    <row r="14" customFormat="false" ht="12.75" hidden="false" customHeight="false" outlineLevel="0" collapsed="false">
      <c r="A14" s="21" t="s">
        <v>38</v>
      </c>
      <c r="C14" s="1"/>
      <c r="J14" s="24"/>
      <c r="K14" s="25"/>
    </row>
    <row r="15" customFormat="false" ht="12.75" hidden="false" customHeight="false" outlineLevel="0" collapsed="false">
      <c r="C15" s="1"/>
      <c r="J15" s="24"/>
      <c r="K15" s="25"/>
    </row>
    <row r="16" customFormat="false" ht="18" hidden="false" customHeight="true" outlineLevel="0" collapsed="false">
      <c r="B16" s="28" t="s">
        <v>39</v>
      </c>
      <c r="C16" s="28"/>
      <c r="D16" s="28"/>
      <c r="E16" s="29"/>
      <c r="F16" s="30"/>
      <c r="G16" s="31"/>
      <c r="H16" s="32"/>
      <c r="J16" s="24"/>
      <c r="K16" s="25"/>
    </row>
    <row r="17" customFormat="false" ht="18" hidden="false" customHeight="true" outlineLevel="0" collapsed="false">
      <c r="B17" s="28"/>
      <c r="C17" s="28"/>
      <c r="D17" s="28"/>
      <c r="E17" s="33" t="s">
        <v>40</v>
      </c>
      <c r="G17" s="31"/>
      <c r="H17" s="32"/>
      <c r="J17" s="24"/>
      <c r="K17" s="25"/>
    </row>
    <row r="18" customFormat="false" ht="12.75" hidden="false" customHeight="false" outlineLevel="0" collapsed="false">
      <c r="C18" s="0" t="s">
        <v>41</v>
      </c>
      <c r="D18" s="22" t="s">
        <v>33</v>
      </c>
      <c r="E18" s="34" t="n">
        <v>173.8</v>
      </c>
      <c r="G18" s="35"/>
      <c r="H18" s="32"/>
      <c r="J18" s="24"/>
      <c r="K18" s="25"/>
    </row>
    <row r="19" customFormat="false" ht="12.75" hidden="false" customHeight="false" outlineLevel="0" collapsed="false">
      <c r="C19" s="0" t="s">
        <v>42</v>
      </c>
      <c r="D19" s="22" t="s">
        <v>33</v>
      </c>
      <c r="E19" s="34" t="n">
        <v>174.2</v>
      </c>
      <c r="G19" s="35"/>
      <c r="J19" s="24"/>
      <c r="K19" s="25"/>
    </row>
    <row r="20" customFormat="false" ht="12.75" hidden="false" customHeight="false" outlineLevel="0" collapsed="false">
      <c r="C20" s="13" t="s">
        <v>43</v>
      </c>
      <c r="D20" s="22" t="s">
        <v>33</v>
      </c>
      <c r="E20" s="34" t="n">
        <v>175.8</v>
      </c>
      <c r="G20" s="36"/>
    </row>
    <row r="21" customFormat="false" ht="12.75" hidden="false" customHeight="false" outlineLevel="0" collapsed="false">
      <c r="C21" s="13" t="s">
        <v>44</v>
      </c>
      <c r="D21" s="22" t="s">
        <v>33</v>
      </c>
      <c r="E21" s="34" t="n">
        <v>176.9</v>
      </c>
      <c r="G21" s="36"/>
    </row>
    <row r="22" customFormat="false" ht="12.75" hidden="false" customHeight="false" outlineLevel="0" collapsed="false">
      <c r="C22" s="37" t="s">
        <v>45</v>
      </c>
      <c r="D22" s="22" t="s">
        <v>33</v>
      </c>
      <c r="E22" s="34" t="n">
        <v>177.5</v>
      </c>
      <c r="G22" s="36"/>
      <c r="J22" s="32"/>
    </row>
    <row r="23" customFormat="false" ht="12.75" hidden="false" customHeight="false" outlineLevel="0" collapsed="false">
      <c r="C23" s="13" t="s">
        <v>46</v>
      </c>
      <c r="D23" s="22" t="s">
        <v>33</v>
      </c>
      <c r="E23" s="34" t="n">
        <v>179.7</v>
      </c>
      <c r="G23" s="36"/>
      <c r="J23" s="32"/>
    </row>
    <row r="24" customFormat="false" ht="12.75" hidden="false" customHeight="false" outlineLevel="0" collapsed="false">
      <c r="C24" s="13" t="s">
        <v>47</v>
      </c>
      <c r="D24" s="22" t="s">
        <v>33</v>
      </c>
      <c r="E24" s="34" t="n">
        <v>180.3</v>
      </c>
      <c r="G24" s="36"/>
    </row>
    <row r="25" customFormat="false" ht="12.75" hidden="false" customHeight="false" outlineLevel="0" collapsed="false">
      <c r="C25" s="13" t="s">
        <v>48</v>
      </c>
      <c r="D25" s="22" t="s">
        <v>33</v>
      </c>
      <c r="E25" s="34" t="n">
        <v>181.1</v>
      </c>
      <c r="G25" s="36"/>
    </row>
    <row r="26" customFormat="false" ht="12.75" hidden="false" customHeight="false" outlineLevel="0" collapsed="false">
      <c r="C26" s="13" t="s">
        <v>49</v>
      </c>
      <c r="D26" s="22" t="s">
        <v>33</v>
      </c>
      <c r="E26" s="34" t="n">
        <v>182.6</v>
      </c>
      <c r="G26" s="36"/>
    </row>
    <row r="27" customFormat="false" ht="12.75" hidden="false" customHeight="false" outlineLevel="0" collapsed="false">
      <c r="C27" s="13" t="s">
        <v>50</v>
      </c>
      <c r="D27" s="22" t="s">
        <v>33</v>
      </c>
      <c r="E27" s="34" t="n">
        <v>185.1</v>
      </c>
      <c r="G27" s="36"/>
    </row>
    <row r="28" customFormat="false" ht="12.75" hidden="false" customHeight="false" outlineLevel="0" collapsed="false">
      <c r="C28" s="13" t="s">
        <v>51</v>
      </c>
      <c r="D28" s="22" t="s">
        <v>33</v>
      </c>
      <c r="E28" s="34" t="n">
        <v>188.7</v>
      </c>
      <c r="G28" s="36"/>
    </row>
    <row r="29" customFormat="false" ht="12.75" hidden="false" customHeight="false" outlineLevel="0" collapsed="false">
      <c r="C29" s="13" t="s">
        <v>52</v>
      </c>
      <c r="D29" s="22" t="s">
        <v>33</v>
      </c>
      <c r="E29" s="34" t="n">
        <v>190.6</v>
      </c>
      <c r="G29" s="38"/>
      <c r="I29" s="30"/>
    </row>
    <row r="30" customFormat="false" ht="12.75" hidden="false" customHeight="false" outlineLevel="0" collapsed="false">
      <c r="C30" s="39" t="s">
        <v>53</v>
      </c>
      <c r="E30" s="40" t="n">
        <f aca="false">SUM(E18:E29)</f>
        <v>2166.3</v>
      </c>
      <c r="G30" s="36"/>
      <c r="I30" s="30"/>
    </row>
    <row r="31" customFormat="false" ht="22.5" hidden="false" customHeight="false" outlineLevel="0" collapsed="false">
      <c r="C31" s="41" t="s">
        <v>54</v>
      </c>
      <c r="E31" s="42" t="n">
        <v>12</v>
      </c>
      <c r="G31" s="43"/>
      <c r="I31" s="30"/>
    </row>
    <row r="32" customFormat="false" ht="24.75" hidden="false" customHeight="false" outlineLevel="0" collapsed="false">
      <c r="C32" s="44" t="s">
        <v>55</v>
      </c>
      <c r="D32" s="22" t="s">
        <v>56</v>
      </c>
      <c r="E32" s="45" t="n">
        <f aca="false">E30/12</f>
        <v>180.525</v>
      </c>
      <c r="G32" s="46"/>
      <c r="I32" s="30"/>
    </row>
    <row r="33" customFormat="false" ht="13.5" hidden="false" customHeight="false" outlineLevel="0" collapsed="false">
      <c r="C33" s="20"/>
      <c r="I33" s="30"/>
    </row>
    <row r="37" customFormat="false" ht="12.75" hidden="false" customHeight="false" outlineLevel="0" collapsed="false">
      <c r="A37" s="21" t="s">
        <v>57</v>
      </c>
      <c r="K37" s="47"/>
    </row>
    <row r="38" customFormat="false" ht="52.5" hidden="false" customHeight="true" outlineLevel="0" collapsed="false">
      <c r="A38" s="48" t="s">
        <v>58</v>
      </c>
      <c r="B38" s="48"/>
      <c r="C38" s="48"/>
      <c r="D38" s="48"/>
      <c r="E38" s="48"/>
    </row>
    <row r="39" customFormat="false" ht="33.75" hidden="false" customHeight="true" outlineLevel="0" collapsed="false">
      <c r="A39" s="49" t="s">
        <v>59</v>
      </c>
      <c r="B39" s="43"/>
      <c r="C39" s="49" t="s">
        <v>60</v>
      </c>
      <c r="E39" s="49" t="s">
        <v>61</v>
      </c>
      <c r="G39" s="50" t="s">
        <v>62</v>
      </c>
    </row>
    <row r="40" customFormat="false" ht="12.75" hidden="false" customHeight="true" outlineLevel="0" collapsed="false">
      <c r="A40" s="51" t="n">
        <v>1</v>
      </c>
      <c r="B40" s="52" t="s">
        <v>63</v>
      </c>
      <c r="C40" s="53" t="n">
        <v>36517</v>
      </c>
      <c r="D40" s="52" t="s">
        <v>63</v>
      </c>
      <c r="E40" s="54" t="n">
        <v>2.399</v>
      </c>
      <c r="J40" s="55"/>
    </row>
    <row r="41" customFormat="false" ht="12.75" hidden="false" customHeight="false" outlineLevel="0" collapsed="false">
      <c r="A41" s="51" t="n">
        <v>2</v>
      </c>
      <c r="B41" s="52" t="s">
        <v>63</v>
      </c>
      <c r="C41" s="53" t="n">
        <v>36521</v>
      </c>
      <c r="D41" s="52" t="s">
        <v>63</v>
      </c>
      <c r="E41" s="54" t="n">
        <v>2.271</v>
      </c>
      <c r="J41" s="55"/>
    </row>
    <row r="42" customFormat="false" ht="12.75" hidden="false" customHeight="false" outlineLevel="0" collapsed="false">
      <c r="A42" s="51" t="n">
        <v>3</v>
      </c>
      <c r="B42" s="52" t="s">
        <v>63</v>
      </c>
      <c r="C42" s="53" t="n">
        <v>36522</v>
      </c>
      <c r="D42" s="52" t="s">
        <v>63</v>
      </c>
      <c r="E42" s="54" t="n">
        <v>2.344</v>
      </c>
      <c r="G42" s="56" t="n">
        <f aca="false">AVERAGE(E40:E42)</f>
        <v>2.338</v>
      </c>
      <c r="J42" s="55"/>
    </row>
    <row r="43" customFormat="false" ht="12.75" hidden="false" customHeight="false" outlineLevel="0" collapsed="false">
      <c r="A43" s="51" t="n">
        <v>4</v>
      </c>
      <c r="B43" s="52" t="s">
        <v>63</v>
      </c>
      <c r="C43" s="53" t="n">
        <v>36550</v>
      </c>
      <c r="D43" s="52" t="s">
        <v>63</v>
      </c>
      <c r="E43" s="54" t="n">
        <v>2.616</v>
      </c>
      <c r="G43" s="56"/>
      <c r="J43" s="55"/>
    </row>
    <row r="44" customFormat="false" ht="12.75" hidden="false" customHeight="false" outlineLevel="0" collapsed="false">
      <c r="A44" s="51" t="n">
        <v>5</v>
      </c>
      <c r="B44" s="52" t="s">
        <v>63</v>
      </c>
      <c r="C44" s="53" t="n">
        <v>36551</v>
      </c>
      <c r="D44" s="52" t="s">
        <v>63</v>
      </c>
      <c r="E44" s="54" t="n">
        <v>2.523</v>
      </c>
      <c r="G44" s="56"/>
      <c r="J44" s="55"/>
    </row>
    <row r="45" customFormat="false" ht="12.75" hidden="false" customHeight="false" outlineLevel="0" collapsed="false">
      <c r="A45" s="51" t="n">
        <v>6</v>
      </c>
      <c r="B45" s="52" t="s">
        <v>63</v>
      </c>
      <c r="C45" s="53" t="n">
        <v>36552</v>
      </c>
      <c r="D45" s="52" t="s">
        <v>63</v>
      </c>
      <c r="E45" s="54" t="n">
        <v>2.61</v>
      </c>
      <c r="G45" s="56" t="n">
        <f aca="false">AVERAGE(E43:E45)</f>
        <v>2.583</v>
      </c>
      <c r="J45" s="55"/>
    </row>
    <row r="46" customFormat="false" ht="12.75" hidden="false" customHeight="false" outlineLevel="0" collapsed="false">
      <c r="A46" s="51" t="n">
        <v>7</v>
      </c>
      <c r="B46" s="52" t="s">
        <v>63</v>
      </c>
      <c r="C46" s="53" t="n">
        <v>36579</v>
      </c>
      <c r="D46" s="52" t="s">
        <v>63</v>
      </c>
      <c r="E46" s="54" t="n">
        <v>2.53</v>
      </c>
      <c r="G46" s="56"/>
      <c r="J46" s="55"/>
    </row>
    <row r="47" customFormat="false" ht="12.75" hidden="false" customHeight="false" outlineLevel="0" collapsed="false">
      <c r="A47" s="51" t="n">
        <v>8</v>
      </c>
      <c r="B47" s="52" t="s">
        <v>63</v>
      </c>
      <c r="C47" s="53" t="n">
        <v>36580</v>
      </c>
      <c r="D47" s="52" t="s">
        <v>63</v>
      </c>
      <c r="E47" s="54" t="n">
        <v>2.549</v>
      </c>
      <c r="G47" s="56"/>
      <c r="J47" s="55"/>
    </row>
    <row r="48" customFormat="false" ht="12.75" hidden="false" customHeight="false" outlineLevel="0" collapsed="false">
      <c r="A48" s="51" t="n">
        <v>9</v>
      </c>
      <c r="B48" s="52" t="s">
        <v>63</v>
      </c>
      <c r="C48" s="53" t="n">
        <v>36581</v>
      </c>
      <c r="D48" s="52" t="s">
        <v>63</v>
      </c>
      <c r="E48" s="54" t="n">
        <v>2.603</v>
      </c>
      <c r="G48" s="56" t="n">
        <f aca="false">AVERAGE(E46:E48)</f>
        <v>2.56066666666667</v>
      </c>
      <c r="J48" s="55"/>
    </row>
    <row r="49" customFormat="false" ht="12.75" hidden="false" customHeight="false" outlineLevel="0" collapsed="false">
      <c r="A49" s="51" t="n">
        <v>10</v>
      </c>
      <c r="B49" s="52" t="s">
        <v>63</v>
      </c>
      <c r="C49" s="53" t="n">
        <v>36612</v>
      </c>
      <c r="D49" s="52" t="s">
        <v>63</v>
      </c>
      <c r="E49" s="54" t="n">
        <v>2.914</v>
      </c>
      <c r="G49" s="56"/>
      <c r="J49" s="55"/>
    </row>
    <row r="50" customFormat="false" ht="12.75" hidden="false" customHeight="false" outlineLevel="0" collapsed="false">
      <c r="A50" s="51" t="n">
        <v>11</v>
      </c>
      <c r="B50" s="52" t="s">
        <v>63</v>
      </c>
      <c r="C50" s="53" t="n">
        <v>36613</v>
      </c>
      <c r="D50" s="52" t="s">
        <v>63</v>
      </c>
      <c r="E50" s="54" t="n">
        <v>2.963</v>
      </c>
      <c r="G50" s="56"/>
      <c r="J50" s="55"/>
    </row>
    <row r="51" customFormat="false" ht="12.75" hidden="false" customHeight="false" outlineLevel="0" collapsed="false">
      <c r="A51" s="51" t="n">
        <v>12</v>
      </c>
      <c r="B51" s="52" t="s">
        <v>63</v>
      </c>
      <c r="C51" s="53" t="n">
        <v>36614</v>
      </c>
      <c r="D51" s="52" t="s">
        <v>63</v>
      </c>
      <c r="E51" s="54" t="n">
        <v>2.9</v>
      </c>
      <c r="G51" s="56" t="n">
        <f aca="false">AVERAGE(E49:E51)</f>
        <v>2.92566666666667</v>
      </c>
      <c r="J51" s="55"/>
    </row>
    <row r="52" customFormat="false" ht="12.75" hidden="false" customHeight="false" outlineLevel="0" collapsed="false">
      <c r="A52" s="51" t="n">
        <v>13</v>
      </c>
      <c r="B52" s="52" t="s">
        <v>63</v>
      </c>
      <c r="C52" s="53" t="n">
        <v>36640</v>
      </c>
      <c r="D52" s="52" t="s">
        <v>63</v>
      </c>
      <c r="E52" s="54" t="n">
        <v>3.137</v>
      </c>
      <c r="G52" s="56"/>
      <c r="J52" s="55"/>
    </row>
    <row r="53" customFormat="false" ht="12.75" hidden="false" customHeight="false" outlineLevel="0" collapsed="false">
      <c r="A53" s="51" t="n">
        <v>14</v>
      </c>
      <c r="B53" s="52" t="s">
        <v>63</v>
      </c>
      <c r="C53" s="53" t="n">
        <v>36641</v>
      </c>
      <c r="D53" s="52" t="s">
        <v>63</v>
      </c>
      <c r="E53" s="54" t="n">
        <v>3.11</v>
      </c>
      <c r="G53" s="56"/>
      <c r="J53" s="55"/>
    </row>
    <row r="54" customFormat="false" ht="12.75" hidden="false" customHeight="false" outlineLevel="0" collapsed="false">
      <c r="A54" s="51" t="n">
        <v>15</v>
      </c>
      <c r="B54" s="52" t="s">
        <v>63</v>
      </c>
      <c r="C54" s="53" t="n">
        <v>36642</v>
      </c>
      <c r="D54" s="52" t="s">
        <v>63</v>
      </c>
      <c r="E54" s="54" t="n">
        <v>3.089</v>
      </c>
      <c r="G54" s="56" t="n">
        <f aca="false">AVERAGE(E52:E54)</f>
        <v>3.112</v>
      </c>
      <c r="J54" s="55"/>
    </row>
    <row r="55" customFormat="false" ht="12.75" hidden="false" customHeight="false" outlineLevel="0" collapsed="false">
      <c r="A55" s="51" t="n">
        <v>16</v>
      </c>
      <c r="B55" s="52" t="s">
        <v>63</v>
      </c>
      <c r="C55" s="53" t="n">
        <v>36670</v>
      </c>
      <c r="D55" s="52" t="s">
        <v>63</v>
      </c>
      <c r="E55" s="54" t="n">
        <v>4.073</v>
      </c>
      <c r="G55" s="56"/>
      <c r="J55" s="55"/>
    </row>
    <row r="56" customFormat="false" ht="12.75" hidden="false" customHeight="false" outlineLevel="0" collapsed="false">
      <c r="A56" s="51" t="n">
        <v>17</v>
      </c>
      <c r="B56" s="52" t="s">
        <v>63</v>
      </c>
      <c r="C56" s="53" t="n">
        <v>36671</v>
      </c>
      <c r="D56" s="52" t="s">
        <v>63</v>
      </c>
      <c r="E56" s="54" t="n">
        <v>4.236</v>
      </c>
      <c r="G56" s="56"/>
      <c r="J56" s="55"/>
    </row>
    <row r="57" customFormat="false" ht="12.75" hidden="false" customHeight="false" outlineLevel="0" collapsed="false">
      <c r="A57" s="51" t="n">
        <v>18</v>
      </c>
      <c r="B57" s="52" t="s">
        <v>63</v>
      </c>
      <c r="C57" s="53" t="n">
        <v>36672</v>
      </c>
      <c r="D57" s="52" t="s">
        <v>63</v>
      </c>
      <c r="E57" s="54" t="n">
        <v>4.406</v>
      </c>
      <c r="G57" s="56" t="n">
        <f aca="false">AVERAGE(E55:E57)</f>
        <v>4.23833333333333</v>
      </c>
      <c r="J57" s="55"/>
    </row>
    <row r="58" customFormat="false" ht="12.75" hidden="false" customHeight="false" outlineLevel="0" collapsed="false">
      <c r="A58" s="51" t="n">
        <v>19</v>
      </c>
      <c r="B58" s="52" t="s">
        <v>63</v>
      </c>
      <c r="C58" s="53" t="n">
        <v>36703</v>
      </c>
      <c r="D58" s="52" t="s">
        <v>63</v>
      </c>
      <c r="E58" s="54" t="n">
        <v>4.56</v>
      </c>
      <c r="G58" s="56"/>
      <c r="J58" s="55"/>
    </row>
    <row r="59" customFormat="false" ht="12.75" hidden="false" customHeight="false" outlineLevel="0" collapsed="false">
      <c r="A59" s="51" t="n">
        <v>20</v>
      </c>
      <c r="B59" s="52" t="s">
        <v>63</v>
      </c>
      <c r="C59" s="53" t="n">
        <v>36704</v>
      </c>
      <c r="D59" s="52" t="s">
        <v>63</v>
      </c>
      <c r="E59" s="54" t="n">
        <v>4.686</v>
      </c>
      <c r="G59" s="56"/>
      <c r="J59" s="55"/>
    </row>
    <row r="60" customFormat="false" ht="12.75" hidden="false" customHeight="false" outlineLevel="0" collapsed="false">
      <c r="A60" s="51" t="n">
        <v>21</v>
      </c>
      <c r="B60" s="52" t="s">
        <v>63</v>
      </c>
      <c r="C60" s="53" t="n">
        <v>36705</v>
      </c>
      <c r="D60" s="52" t="s">
        <v>63</v>
      </c>
      <c r="E60" s="54" t="n">
        <v>4.369</v>
      </c>
      <c r="G60" s="56" t="n">
        <f aca="false">AVERAGE(E58:E60)</f>
        <v>4.53833333333333</v>
      </c>
      <c r="J60" s="55"/>
    </row>
    <row r="61" customFormat="false" ht="12.75" hidden="false" customHeight="false" outlineLevel="0" collapsed="false">
      <c r="A61" s="51" t="n">
        <v>22</v>
      </c>
      <c r="B61" s="52" t="s">
        <v>63</v>
      </c>
      <c r="C61" s="53" t="n">
        <v>36732</v>
      </c>
      <c r="D61" s="52" t="s">
        <v>63</v>
      </c>
      <c r="E61" s="54" t="n">
        <v>3.66</v>
      </c>
      <c r="G61" s="56"/>
      <c r="J61" s="55"/>
    </row>
    <row r="62" customFormat="false" ht="12.75" hidden="false" customHeight="false" outlineLevel="0" collapsed="false">
      <c r="A62" s="51" t="n">
        <v>23</v>
      </c>
      <c r="B62" s="52" t="s">
        <v>63</v>
      </c>
      <c r="C62" s="53" t="n">
        <v>36733</v>
      </c>
      <c r="D62" s="52" t="s">
        <v>63</v>
      </c>
      <c r="E62" s="54" t="n">
        <v>3.763</v>
      </c>
      <c r="G62" s="56"/>
      <c r="J62" s="55"/>
    </row>
    <row r="63" customFormat="false" ht="12.75" hidden="false" customHeight="false" outlineLevel="0" collapsed="false">
      <c r="A63" s="51" t="n">
        <v>24</v>
      </c>
      <c r="B63" s="52" t="s">
        <v>63</v>
      </c>
      <c r="C63" s="53" t="n">
        <v>36734</v>
      </c>
      <c r="D63" s="52" t="s">
        <v>63</v>
      </c>
      <c r="E63" s="54" t="n">
        <v>3.82</v>
      </c>
      <c r="G63" s="56" t="n">
        <f aca="false">AVERAGE(E61:E63)</f>
        <v>3.74766666666667</v>
      </c>
      <c r="J63" s="55"/>
    </row>
    <row r="64" customFormat="false" ht="12.75" hidden="false" customHeight="false" outlineLevel="0" collapsed="false">
      <c r="A64" s="51" t="n">
        <v>25</v>
      </c>
      <c r="B64" s="52" t="s">
        <v>63</v>
      </c>
      <c r="C64" s="53" t="n">
        <v>36763</v>
      </c>
      <c r="D64" s="52" t="s">
        <v>63</v>
      </c>
      <c r="E64" s="54" t="n">
        <v>4.628</v>
      </c>
      <c r="G64" s="56"/>
      <c r="J64" s="55"/>
    </row>
    <row r="65" customFormat="false" ht="12.75" hidden="false" customHeight="false" outlineLevel="0" collapsed="false">
      <c r="A65" s="51" t="n">
        <v>26</v>
      </c>
      <c r="B65" s="52" t="s">
        <v>63</v>
      </c>
      <c r="C65" s="53" t="n">
        <v>36766</v>
      </c>
      <c r="D65" s="52" t="s">
        <v>63</v>
      </c>
      <c r="E65" s="54" t="n">
        <v>4.685</v>
      </c>
      <c r="G65" s="56"/>
      <c r="J65" s="55"/>
    </row>
    <row r="66" customFormat="false" ht="12.75" hidden="false" customHeight="false" outlineLevel="0" collapsed="false">
      <c r="A66" s="51" t="n">
        <v>27</v>
      </c>
      <c r="B66" s="52" t="s">
        <v>63</v>
      </c>
      <c r="C66" s="53" t="n">
        <v>36767</v>
      </c>
      <c r="D66" s="52" t="s">
        <v>63</v>
      </c>
      <c r="E66" s="54" t="n">
        <v>4.618</v>
      </c>
      <c r="G66" s="56" t="n">
        <f aca="false">AVERAGE(E64:E66)</f>
        <v>4.64366666666667</v>
      </c>
      <c r="J66" s="55"/>
    </row>
    <row r="67" customFormat="false" ht="12.75" hidden="false" customHeight="false" outlineLevel="0" collapsed="false">
      <c r="A67" s="51" t="n">
        <v>28</v>
      </c>
      <c r="B67" s="52" t="s">
        <v>63</v>
      </c>
      <c r="C67" s="53" t="n">
        <v>36794</v>
      </c>
      <c r="D67" s="52" t="s">
        <v>63</v>
      </c>
      <c r="E67" s="54" t="n">
        <v>5.276</v>
      </c>
      <c r="G67" s="56"/>
      <c r="J67" s="55"/>
    </row>
    <row r="68" customFormat="false" ht="12.75" hidden="false" customHeight="false" outlineLevel="0" collapsed="false">
      <c r="A68" s="51" t="n">
        <v>29</v>
      </c>
      <c r="B68" s="52" t="s">
        <v>63</v>
      </c>
      <c r="C68" s="53" t="n">
        <v>36795</v>
      </c>
      <c r="D68" s="52" t="s">
        <v>63</v>
      </c>
      <c r="E68" s="54" t="n">
        <v>5.324</v>
      </c>
      <c r="G68" s="56"/>
      <c r="J68" s="55"/>
    </row>
    <row r="69" customFormat="false" ht="12.75" hidden="false" customHeight="false" outlineLevel="0" collapsed="false">
      <c r="A69" s="51" t="n">
        <v>30</v>
      </c>
      <c r="B69" s="52" t="s">
        <v>63</v>
      </c>
      <c r="C69" s="53" t="n">
        <v>36796</v>
      </c>
      <c r="D69" s="52" t="s">
        <v>63</v>
      </c>
      <c r="E69" s="54" t="n">
        <v>5.312</v>
      </c>
      <c r="G69" s="56" t="n">
        <f aca="false">AVERAGE(E67:E69)</f>
        <v>5.304</v>
      </c>
      <c r="J69" s="55"/>
    </row>
    <row r="70" customFormat="false" ht="12.75" hidden="false" customHeight="false" outlineLevel="0" collapsed="false">
      <c r="A70" s="51" t="n">
        <v>31</v>
      </c>
      <c r="B70" s="52" t="s">
        <v>63</v>
      </c>
      <c r="C70" s="53" t="n">
        <v>36824</v>
      </c>
      <c r="D70" s="52" t="s">
        <v>63</v>
      </c>
      <c r="E70" s="54" t="n">
        <v>4.659</v>
      </c>
      <c r="G70" s="56"/>
      <c r="J70" s="55"/>
    </row>
    <row r="71" customFormat="false" ht="12.75" hidden="false" customHeight="false" outlineLevel="0" collapsed="false">
      <c r="A71" s="51" t="n">
        <v>32</v>
      </c>
      <c r="B71" s="52" t="s">
        <v>63</v>
      </c>
      <c r="C71" s="53" t="n">
        <v>36825</v>
      </c>
      <c r="D71" s="52" t="s">
        <v>63</v>
      </c>
      <c r="E71" s="54" t="n">
        <v>4.664</v>
      </c>
      <c r="G71" s="56"/>
      <c r="J71" s="55"/>
    </row>
    <row r="72" customFormat="false" ht="12.75" hidden="false" customHeight="false" outlineLevel="0" collapsed="false">
      <c r="A72" s="51" t="n">
        <v>33</v>
      </c>
      <c r="B72" s="52" t="s">
        <v>63</v>
      </c>
      <c r="C72" s="53" t="n">
        <v>36826</v>
      </c>
      <c r="D72" s="52" t="s">
        <v>63</v>
      </c>
      <c r="E72" s="57" t="n">
        <v>4.541</v>
      </c>
      <c r="G72" s="56" t="n">
        <f aca="false">AVERAGE(E70:E72)</f>
        <v>4.62133333333333</v>
      </c>
      <c r="J72" s="55"/>
    </row>
    <row r="73" customFormat="false" ht="12.75" hidden="false" customHeight="false" outlineLevel="0" collapsed="false">
      <c r="A73" s="51" t="n">
        <v>34</v>
      </c>
      <c r="B73" s="52" t="s">
        <v>63</v>
      </c>
      <c r="C73" s="53" t="n">
        <v>36852</v>
      </c>
      <c r="D73" s="52" t="s">
        <v>63</v>
      </c>
      <c r="E73" s="54" t="n">
        <v>6.577</v>
      </c>
      <c r="G73" s="56"/>
      <c r="J73" s="55"/>
    </row>
    <row r="74" customFormat="false" ht="12.75" hidden="false" customHeight="false" outlineLevel="0" collapsed="false">
      <c r="A74" s="51" t="n">
        <v>35</v>
      </c>
      <c r="B74" s="52" t="s">
        <v>63</v>
      </c>
      <c r="C74" s="53" t="n">
        <v>36857</v>
      </c>
      <c r="D74" s="52" t="s">
        <v>63</v>
      </c>
      <c r="E74" s="54" t="n">
        <v>6.368</v>
      </c>
      <c r="G74" s="56"/>
      <c r="J74" s="55"/>
    </row>
    <row r="75" customFormat="false" ht="12.75" hidden="false" customHeight="false" outlineLevel="0" collapsed="false">
      <c r="A75" s="51" t="n">
        <v>36</v>
      </c>
      <c r="B75" s="52" t="s">
        <v>63</v>
      </c>
      <c r="C75" s="53" t="n">
        <v>36858</v>
      </c>
      <c r="D75" s="52" t="s">
        <v>63</v>
      </c>
      <c r="E75" s="58" t="n">
        <v>6.016</v>
      </c>
      <c r="G75" s="56" t="n">
        <f aca="false">AVERAGE(E73:E75)</f>
        <v>6.32033333333333</v>
      </c>
      <c r="J75" s="55"/>
    </row>
    <row r="76" customFormat="false" ht="13.5" hidden="false" customHeight="false" outlineLevel="0" collapsed="false">
      <c r="A76" s="59"/>
      <c r="B76" s="55"/>
      <c r="C76" s="55"/>
      <c r="D76" s="55"/>
      <c r="E76" s="60" t="n">
        <f aca="false">SUM(E40:E75)</f>
        <v>140.799</v>
      </c>
      <c r="J76" s="55"/>
    </row>
    <row r="77" customFormat="false" ht="16.5" hidden="false" customHeight="false" outlineLevel="0" collapsed="false">
      <c r="A77" s="59"/>
      <c r="B77" s="55"/>
      <c r="C77" s="61" t="s">
        <v>64</v>
      </c>
      <c r="D77" s="62"/>
      <c r="E77" s="63" t="n">
        <f aca="false">E76/36</f>
        <v>3.91108333333333</v>
      </c>
      <c r="G77" s="64" t="n">
        <f aca="false">SUM(G40:G76)/12</f>
        <v>3.91108333333333</v>
      </c>
    </row>
  </sheetData>
  <mergeCells count="2">
    <mergeCell ref="B16:D17"/>
    <mergeCell ref="A38:E38"/>
  </mergeCells>
  <printOptions headings="false" gridLines="false" gridLinesSet="true" horizontalCentered="false" verticalCentered="false"/>
  <pageMargins left="0.747916666666667" right="0.747916666666667" top="0.984027777777778" bottom="1.12986111111111" header="0.5" footer="0.5"/>
  <pageSetup paperSize="1" scale="100" fitToWidth="1" fitToHeight="1" pageOrder="downThenOver" orientation="portrait" blackAndWhite="false" draft="false" cellComments="none" horizontalDpi="300" verticalDpi="300" copies="1"/>
  <headerFooter differentFirst="false" differentOddEven="false">
    <oddHeader>&amp;L&amp;8EcoElectrica LP
LNG Sales Contract
Beginning of Year Input</oddHeader>
    <oddFooter>&amp;LLNG Sales Contract
&amp;D
&amp;T&amp;CBeginning of Year Input&amp;R&amp;N of &amp;N</oddFooter>
  </headerFooter>
  <rowBreaks count="1" manualBreakCount="1">
    <brk id="34" man="true" max="16383" min="0"/>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3:J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N13" activeCellId="0" sqref="N13"/>
    </sheetView>
  </sheetViews>
  <sheetFormatPr defaultColWidth="9.0546875" defaultRowHeight="12.75" customHeight="true" zeroHeight="false" outlineLevelRow="0" outlineLevelCol="0"/>
  <sheetData>
    <row r="3" customFormat="false" ht="12.75" hidden="false" customHeight="false" outlineLevel="0" collapsed="false">
      <c r="A3" s="21" t="s">
        <v>65</v>
      </c>
      <c r="I3" s="19"/>
    </row>
    <row r="4" customFormat="false" ht="30" hidden="false" customHeight="true" outlineLevel="0" collapsed="false">
      <c r="A4" s="21"/>
      <c r="B4" s="65" t="s">
        <v>66</v>
      </c>
      <c r="C4" s="65"/>
      <c r="D4" s="65"/>
      <c r="E4" s="65"/>
      <c r="F4" s="65"/>
      <c r="G4" s="65"/>
      <c r="H4" s="65"/>
      <c r="I4" s="10" t="s">
        <v>33</v>
      </c>
      <c r="J4" s="66" t="n">
        <v>36404</v>
      </c>
    </row>
    <row r="5" customFormat="false" ht="12.75" hidden="false" customHeight="false" outlineLevel="0" collapsed="false">
      <c r="A5" s="21"/>
      <c r="B5" s="67"/>
      <c r="C5" s="67"/>
      <c r="D5" s="67"/>
      <c r="E5" s="67"/>
      <c r="F5" s="67"/>
      <c r="G5" s="67"/>
      <c r="H5" s="67"/>
      <c r="I5" s="10"/>
      <c r="J5" s="68"/>
    </row>
    <row r="6" customFormat="false" ht="20.25" hidden="false" customHeight="true" outlineLevel="0" collapsed="false">
      <c r="A6" s="21"/>
      <c r="B6" s="65" t="s">
        <v>67</v>
      </c>
      <c r="C6" s="65"/>
      <c r="D6" s="65"/>
      <c r="E6" s="65"/>
      <c r="F6" s="65"/>
      <c r="G6" s="65"/>
      <c r="H6" s="65"/>
      <c r="I6" s="10" t="s">
        <v>33</v>
      </c>
      <c r="J6" s="66" t="n">
        <v>36342</v>
      </c>
    </row>
    <row r="7" customFormat="false" ht="12.75" hidden="false" customHeight="false" outlineLevel="0" collapsed="false">
      <c r="A7" s="21"/>
      <c r="B7" s="67"/>
      <c r="C7" s="67"/>
      <c r="D7" s="67"/>
      <c r="E7" s="67"/>
      <c r="F7" s="67"/>
      <c r="G7" s="67"/>
      <c r="H7" s="67"/>
      <c r="I7" s="10"/>
      <c r="J7" s="69"/>
    </row>
    <row r="8" customFormat="false" ht="12.75" hidden="false" customHeight="false" outlineLevel="0" collapsed="false">
      <c r="A8" s="21"/>
      <c r="B8" s="0" t="s">
        <v>68</v>
      </c>
      <c r="I8" s="70" t="s">
        <v>69</v>
      </c>
      <c r="J8" s="71" t="n">
        <f aca="false">J4-J6</f>
        <v>62</v>
      </c>
    </row>
    <row r="9" customFormat="false" ht="12.75" hidden="false" customHeight="false" outlineLevel="0" collapsed="false">
      <c r="A9" s="21"/>
      <c r="B9" s="67"/>
      <c r="C9" s="67"/>
      <c r="D9" s="67"/>
      <c r="E9" s="67"/>
      <c r="F9" s="67"/>
      <c r="G9" s="67"/>
      <c r="H9" s="67"/>
      <c r="I9" s="10"/>
      <c r="J9" s="71"/>
    </row>
    <row r="10" customFormat="false" ht="57" hidden="false" customHeight="true" outlineLevel="0" collapsed="false">
      <c r="A10" s="21"/>
      <c r="B10" s="65" t="s">
        <v>70</v>
      </c>
      <c r="C10" s="65"/>
      <c r="D10" s="65"/>
      <c r="E10" s="65"/>
      <c r="F10" s="65"/>
      <c r="G10" s="65"/>
      <c r="H10" s="65"/>
      <c r="I10" s="10" t="s">
        <v>33</v>
      </c>
      <c r="J10" s="72" t="s">
        <v>71</v>
      </c>
    </row>
    <row r="11" customFormat="false" ht="12.75" hidden="false" customHeight="false" outlineLevel="0" collapsed="false">
      <c r="A11" s="21"/>
      <c r="B11" s="67"/>
      <c r="C11" s="67"/>
      <c r="D11" s="67"/>
      <c r="E11" s="67"/>
      <c r="F11" s="67"/>
      <c r="G11" s="67"/>
      <c r="H11" s="67"/>
      <c r="I11" s="10"/>
      <c r="J11" s="71"/>
    </row>
    <row r="12" customFormat="false" ht="43.5" hidden="false" customHeight="true" outlineLevel="0" collapsed="false">
      <c r="A12" s="21"/>
      <c r="B12" s="65" t="s">
        <v>72</v>
      </c>
      <c r="C12" s="65"/>
      <c r="D12" s="65"/>
      <c r="E12" s="65"/>
      <c r="F12" s="65"/>
      <c r="G12" s="65"/>
      <c r="H12" s="65"/>
      <c r="I12" s="10" t="s">
        <v>33</v>
      </c>
      <c r="J12" s="72" t="s">
        <v>71</v>
      </c>
    </row>
  </sheetData>
  <mergeCells count="4">
    <mergeCell ref="B4:H4"/>
    <mergeCell ref="B6:H6"/>
    <mergeCell ref="B10:H10"/>
    <mergeCell ref="B12:H12"/>
  </mergeCells>
  <printOptions headings="false" gridLines="false" gridLinesSet="true" horizontalCentered="false" verticalCentered="false"/>
  <pageMargins left="0.747916666666667" right="0.747916666666667" top="0.984027777777778" bottom="0.984027777777778" header="0.5" footer="0.5"/>
  <pageSetup paperSize="1" scale="95" fitToWidth="1" fitToHeight="1" pageOrder="downThenOver" orientation="portrait" blackAndWhite="false" draft="false" cellComments="none" horizontalDpi="300" verticalDpi="300" copies="1"/>
  <headerFooter differentFirst="false" differentOddEven="false">
    <oddHeader>&amp;LEcoElectrica, LP
LNG Sales Contract
Article 8 - Price
Montly Input</oddHeader>
    <oddFooter>&amp;LLNG Sales Contract
&amp;D
&amp;T&amp;CMonthly Input&amp;R&amp;P of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4:J124"/>
  <sheetViews>
    <sheetView showFormulas="false" showGridLines="true" showRowColHeaders="true" showZeros="true" rightToLeft="false" tabSelected="false" showOutlineSymbols="true" defaultGridColor="true" view="normal" topLeftCell="A104" colorId="64" zoomScale="100" zoomScaleNormal="100" zoomScalePageLayoutView="100" workbookViewId="0">
      <selection pane="topLeft" activeCell="J123" activeCellId="0" sqref="J123"/>
    </sheetView>
  </sheetViews>
  <sheetFormatPr defaultColWidth="9.0546875" defaultRowHeight="12.75" customHeight="true" zeroHeight="false" outlineLevelRow="0" outlineLevelCol="0"/>
  <cols>
    <col collapsed="false" customWidth="true" hidden="false" outlineLevel="0" max="1" min="1" style="0" width="7.28"/>
    <col collapsed="false" customWidth="true" hidden="false" outlineLevel="0" max="7" min="7" style="0" width="11.42"/>
    <col collapsed="false" customWidth="true" hidden="false" outlineLevel="0" max="8" min="8" style="0" width="9.7"/>
    <col collapsed="false" customWidth="true" hidden="false" outlineLevel="0" max="10" min="10" style="0" width="14.28"/>
  </cols>
  <sheetData>
    <row r="4" customFormat="false" ht="12.75" hidden="false" customHeight="false" outlineLevel="0" collapsed="false">
      <c r="G4" s="73"/>
    </row>
    <row r="5" customFormat="false" ht="22.5" hidden="false" customHeight="true" outlineLevel="0" collapsed="false">
      <c r="A5" s="21" t="s">
        <v>73</v>
      </c>
    </row>
    <row r="6" customFormat="false" ht="27.75" hidden="false" customHeight="true" outlineLevel="0" collapsed="false">
      <c r="B6" s="65" t="s">
        <v>74</v>
      </c>
      <c r="C6" s="65"/>
      <c r="D6" s="65"/>
      <c r="E6" s="65"/>
      <c r="F6" s="65"/>
      <c r="G6" s="65"/>
      <c r="H6" s="65"/>
      <c r="I6" s="10" t="s">
        <v>33</v>
      </c>
      <c r="J6" s="74" t="n">
        <v>0</v>
      </c>
    </row>
    <row r="8" customFormat="false" ht="51" hidden="false" customHeight="true" outlineLevel="0" collapsed="false">
      <c r="B8" s="65" t="s">
        <v>75</v>
      </c>
      <c r="C8" s="65"/>
      <c r="D8" s="65"/>
      <c r="E8" s="65"/>
      <c r="F8" s="65"/>
      <c r="G8" s="65"/>
      <c r="H8" s="65"/>
      <c r="I8" s="10" t="s">
        <v>33</v>
      </c>
      <c r="J8" s="74" t="n">
        <v>0</v>
      </c>
    </row>
    <row r="9" customFormat="false" ht="12.75" hidden="false" customHeight="true" outlineLevel="0" collapsed="false">
      <c r="A9" s="67"/>
      <c r="B9" s="67"/>
      <c r="C9" s="67"/>
      <c r="D9" s="75"/>
      <c r="E9" s="75"/>
      <c r="F9" s="75"/>
      <c r="G9" s="76"/>
      <c r="H9" s="67"/>
      <c r="I9" s="10"/>
      <c r="J9" s="3"/>
    </row>
    <row r="10" customFormat="false" ht="27.75" hidden="false" customHeight="true" outlineLevel="0" collapsed="false">
      <c r="A10" s="77" t="s">
        <v>76</v>
      </c>
      <c r="B10" s="77"/>
      <c r="C10" s="77"/>
      <c r="D10" s="77"/>
      <c r="E10" s="77"/>
      <c r="F10" s="77"/>
      <c r="G10" s="77"/>
      <c r="H10" s="77"/>
      <c r="I10" s="19"/>
    </row>
    <row r="11" customFormat="false" ht="27" hidden="false" customHeight="true" outlineLevel="0" collapsed="false">
      <c r="B11" s="65" t="s">
        <v>77</v>
      </c>
      <c r="C11" s="65"/>
      <c r="D11" s="65"/>
      <c r="E11" s="65"/>
      <c r="F11" s="65"/>
      <c r="G11" s="65"/>
      <c r="H11" s="65"/>
      <c r="I11" s="10" t="s">
        <v>33</v>
      </c>
      <c r="J11" s="78" t="s">
        <v>71</v>
      </c>
    </row>
    <row r="12" customFormat="false" ht="12.75" hidden="false" customHeight="false" outlineLevel="0" collapsed="false">
      <c r="B12" s="6"/>
      <c r="I12" s="19"/>
      <c r="J12" s="79"/>
    </row>
    <row r="13" customFormat="false" ht="25.5" hidden="false" customHeight="true" outlineLevel="0" collapsed="false">
      <c r="B13" s="65" t="s">
        <v>78</v>
      </c>
      <c r="C13" s="65"/>
      <c r="D13" s="65"/>
      <c r="E13" s="65"/>
      <c r="F13" s="65"/>
      <c r="G13" s="65"/>
      <c r="H13" s="65"/>
      <c r="I13" s="10" t="s">
        <v>33</v>
      </c>
      <c r="J13" s="78" t="s">
        <v>79</v>
      </c>
    </row>
    <row r="14" customFormat="false" ht="12.75" hidden="false" customHeight="true" outlineLevel="0" collapsed="false">
      <c r="B14" s="67"/>
      <c r="C14" s="67"/>
      <c r="D14" s="67"/>
      <c r="E14" s="67"/>
      <c r="F14" s="67"/>
      <c r="G14" s="67"/>
      <c r="H14" s="67"/>
      <c r="I14" s="19"/>
      <c r="J14" s="79"/>
    </row>
    <row r="15" customFormat="false" ht="27.75" hidden="false" customHeight="true" outlineLevel="0" collapsed="false">
      <c r="B15" s="65" t="s">
        <v>80</v>
      </c>
      <c r="C15" s="65"/>
      <c r="D15" s="65"/>
      <c r="E15" s="65"/>
      <c r="F15" s="65"/>
      <c r="G15" s="65"/>
      <c r="H15" s="65"/>
      <c r="I15" s="10" t="s">
        <v>33</v>
      </c>
      <c r="J15" s="80" t="n">
        <v>7</v>
      </c>
    </row>
    <row r="16" customFormat="false" ht="12.75" hidden="false" customHeight="true" outlineLevel="0" collapsed="false">
      <c r="B16" s="67"/>
      <c r="C16" s="67"/>
      <c r="D16" s="67"/>
      <c r="E16" s="67"/>
      <c r="F16" s="67"/>
      <c r="G16" s="67"/>
      <c r="H16" s="67"/>
      <c r="I16" s="10"/>
      <c r="J16" s="19"/>
    </row>
    <row r="17" customFormat="false" ht="12.75" hidden="false" customHeight="true" outlineLevel="0" collapsed="false">
      <c r="A17" s="77" t="s">
        <v>7</v>
      </c>
      <c r="B17" s="77"/>
      <c r="C17" s="77"/>
      <c r="D17" s="77"/>
      <c r="E17" s="77"/>
      <c r="F17" s="77"/>
      <c r="G17" s="77"/>
      <c r="H17" s="77"/>
      <c r="I17" s="10"/>
      <c r="J17" s="81"/>
    </row>
    <row r="18" customFormat="false" ht="24.75" hidden="false" customHeight="true" outlineLevel="0" collapsed="false">
      <c r="A18" s="82"/>
      <c r="B18" s="28" t="s">
        <v>81</v>
      </c>
      <c r="C18" s="28"/>
      <c r="D18" s="28"/>
      <c r="E18" s="28"/>
      <c r="F18" s="28"/>
      <c r="G18" s="28"/>
      <c r="H18" s="28"/>
      <c r="I18" s="10" t="s">
        <v>33</v>
      </c>
      <c r="J18" s="83" t="n">
        <v>7500</v>
      </c>
    </row>
    <row r="19" customFormat="false" ht="12.75" hidden="false" customHeight="true" outlineLevel="0" collapsed="false">
      <c r="A19" s="82"/>
      <c r="B19" s="84"/>
      <c r="C19" s="84"/>
      <c r="D19" s="84"/>
      <c r="E19" s="84"/>
      <c r="F19" s="84"/>
      <c r="G19" s="84"/>
      <c r="H19" s="84"/>
      <c r="I19" s="10"/>
      <c r="J19" s="85"/>
    </row>
    <row r="20" customFormat="false" ht="37.5" hidden="false" customHeight="true" outlineLevel="0" collapsed="false">
      <c r="A20" s="82"/>
      <c r="B20" s="28" t="s">
        <v>82</v>
      </c>
      <c r="C20" s="28"/>
      <c r="D20" s="28"/>
      <c r="E20" s="28"/>
      <c r="F20" s="28"/>
      <c r="G20" s="28"/>
      <c r="H20" s="28"/>
      <c r="I20" s="10" t="s">
        <v>33</v>
      </c>
      <c r="J20" s="83" t="n">
        <v>2</v>
      </c>
    </row>
    <row r="21" customFormat="false" ht="12.75" hidden="false" customHeight="true" outlineLevel="0" collapsed="false">
      <c r="A21" s="82"/>
      <c r="B21" s="84"/>
      <c r="C21" s="84"/>
      <c r="D21" s="84"/>
      <c r="E21" s="84"/>
      <c r="F21" s="84"/>
      <c r="G21" s="84"/>
      <c r="H21" s="84"/>
      <c r="I21" s="10"/>
      <c r="J21" s="85"/>
    </row>
    <row r="22" customFormat="false" ht="12.75" hidden="false" customHeight="true" outlineLevel="0" collapsed="false">
      <c r="A22" s="82"/>
      <c r="B22" s="65" t="s">
        <v>83</v>
      </c>
      <c r="C22" s="65"/>
      <c r="D22" s="65"/>
      <c r="E22" s="65"/>
      <c r="F22" s="65"/>
      <c r="G22" s="65"/>
      <c r="H22" s="65"/>
      <c r="I22" s="10" t="s">
        <v>33</v>
      </c>
      <c r="J22" s="86" t="s">
        <v>79</v>
      </c>
    </row>
    <row r="23" customFormat="false" ht="12.75" hidden="false" customHeight="true" outlineLevel="0" collapsed="false">
      <c r="A23" s="82"/>
      <c r="B23" s="67"/>
      <c r="C23" s="67"/>
      <c r="D23" s="67"/>
      <c r="E23" s="67"/>
      <c r="F23" s="67"/>
      <c r="G23" s="67"/>
      <c r="H23" s="67"/>
      <c r="I23" s="10"/>
      <c r="J23" s="86"/>
    </row>
    <row r="24" customFormat="false" ht="83.25" hidden="false" customHeight="true" outlineLevel="0" collapsed="false">
      <c r="A24" s="65" t="s">
        <v>84</v>
      </c>
      <c r="B24" s="65"/>
      <c r="C24" s="65"/>
      <c r="D24" s="65"/>
      <c r="E24" s="65"/>
      <c r="F24" s="65"/>
      <c r="G24" s="65"/>
      <c r="H24" s="65"/>
      <c r="I24" s="10"/>
      <c r="J24" s="86"/>
    </row>
    <row r="25" customFormat="false" ht="12.75" hidden="false" customHeight="true" outlineLevel="0" collapsed="false">
      <c r="G25" s="67"/>
      <c r="H25" s="67"/>
      <c r="I25" s="10"/>
      <c r="J25" s="86"/>
    </row>
    <row r="26" customFormat="false" ht="12.75" hidden="false" customHeight="true" outlineLevel="0" collapsed="false">
      <c r="G26" s="67"/>
      <c r="H26" s="67"/>
      <c r="I26" s="10"/>
      <c r="J26" s="86"/>
    </row>
    <row r="27" customFormat="false" ht="12.75" hidden="false" customHeight="true" outlineLevel="0" collapsed="false">
      <c r="G27" s="67"/>
      <c r="H27" s="67"/>
      <c r="I27" s="10"/>
      <c r="J27" s="86"/>
    </row>
    <row r="28" customFormat="false" ht="12.75" hidden="false" customHeight="true" outlineLevel="0" collapsed="false">
      <c r="G28" s="67"/>
      <c r="H28" s="67"/>
      <c r="I28" s="10"/>
      <c r="J28" s="86"/>
    </row>
    <row r="29" customFormat="false" ht="25.5" hidden="false" customHeight="true" outlineLevel="0" collapsed="false">
      <c r="B29" s="65" t="s">
        <v>85</v>
      </c>
      <c r="C29" s="65"/>
      <c r="D29" s="65"/>
      <c r="E29" s="65"/>
      <c r="F29" s="65"/>
      <c r="G29" s="65"/>
      <c r="H29" s="65"/>
      <c r="I29" s="10"/>
      <c r="J29" s="86"/>
    </row>
    <row r="30" customFormat="false" ht="12.75" hidden="false" customHeight="true" outlineLevel="0" collapsed="false">
      <c r="F30" s="50" t="s">
        <v>86</v>
      </c>
      <c r="H30" s="50" t="str">
        <f aca="false">'Propane Index'!B4</f>
        <v>Date (mm/dd/yy)</v>
      </c>
      <c r="J30" s="50" t="s">
        <v>87</v>
      </c>
    </row>
    <row r="31" customFormat="false" ht="12.75" hidden="false" customHeight="true" outlineLevel="0" collapsed="false">
      <c r="F31" s="59" t="n">
        <v>1</v>
      </c>
      <c r="G31" s="10" t="s">
        <v>33</v>
      </c>
      <c r="H31" s="87" t="n">
        <v>36647</v>
      </c>
      <c r="I31" s="10" t="s">
        <v>33</v>
      </c>
      <c r="J31" s="78" t="n">
        <v>0.575</v>
      </c>
    </row>
    <row r="32" customFormat="false" ht="12.75" hidden="false" customHeight="true" outlineLevel="0" collapsed="false">
      <c r="F32" s="79" t="n">
        <v>2</v>
      </c>
      <c r="G32" s="10" t="s">
        <v>33</v>
      </c>
      <c r="H32" s="87" t="n">
        <v>36648</v>
      </c>
      <c r="I32" s="10" t="s">
        <v>33</v>
      </c>
      <c r="J32" s="78" t="n">
        <v>0.575</v>
      </c>
    </row>
    <row r="33" customFormat="false" ht="12.75" hidden="false" customHeight="true" outlineLevel="0" collapsed="false">
      <c r="F33" s="79" t="n">
        <v>3</v>
      </c>
      <c r="G33" s="10" t="s">
        <v>33</v>
      </c>
      <c r="H33" s="87"/>
      <c r="I33" s="10" t="s">
        <v>33</v>
      </c>
      <c r="J33" s="78"/>
    </row>
    <row r="34" customFormat="false" ht="12.75" hidden="false" customHeight="true" outlineLevel="0" collapsed="false">
      <c r="F34" s="79" t="n">
        <v>4</v>
      </c>
      <c r="G34" s="10" t="s">
        <v>33</v>
      </c>
      <c r="H34" s="87"/>
      <c r="I34" s="10" t="s">
        <v>33</v>
      </c>
      <c r="J34" s="78"/>
    </row>
    <row r="35" customFormat="false" ht="12.75" hidden="false" customHeight="true" outlineLevel="0" collapsed="false">
      <c r="F35" s="79" t="n">
        <v>5</v>
      </c>
      <c r="G35" s="10" t="s">
        <v>33</v>
      </c>
      <c r="H35" s="87"/>
      <c r="I35" s="10" t="s">
        <v>33</v>
      </c>
      <c r="J35" s="78"/>
    </row>
    <row r="36" customFormat="false" ht="12.75" hidden="false" customHeight="true" outlineLevel="0" collapsed="false">
      <c r="F36" s="79" t="n">
        <v>6</v>
      </c>
      <c r="G36" s="10" t="s">
        <v>33</v>
      </c>
      <c r="H36" s="87"/>
      <c r="I36" s="10" t="s">
        <v>33</v>
      </c>
      <c r="J36" s="78"/>
    </row>
    <row r="37" customFormat="false" ht="12.75" hidden="false" customHeight="true" outlineLevel="0" collapsed="false">
      <c r="F37" s="79" t="n">
        <v>7</v>
      </c>
      <c r="G37" s="10" t="s">
        <v>33</v>
      </c>
      <c r="H37" s="87"/>
      <c r="I37" s="10" t="s">
        <v>33</v>
      </c>
      <c r="J37" s="78"/>
    </row>
    <row r="38" customFormat="false" ht="12.75" hidden="false" customHeight="true" outlineLevel="0" collapsed="false">
      <c r="F38" s="79" t="n">
        <v>8</v>
      </c>
      <c r="G38" s="10" t="s">
        <v>33</v>
      </c>
      <c r="H38" s="87"/>
      <c r="I38" s="10" t="s">
        <v>33</v>
      </c>
      <c r="J38" s="78"/>
    </row>
    <row r="39" customFormat="false" ht="12.75" hidden="false" customHeight="true" outlineLevel="0" collapsed="false">
      <c r="F39" s="79" t="n">
        <v>9</v>
      </c>
      <c r="G39" s="10" t="s">
        <v>33</v>
      </c>
      <c r="H39" s="87"/>
      <c r="I39" s="10" t="s">
        <v>33</v>
      </c>
      <c r="J39" s="78"/>
    </row>
    <row r="40" customFormat="false" ht="12.75" hidden="false" customHeight="true" outlineLevel="0" collapsed="false">
      <c r="F40" s="79" t="n">
        <v>10</v>
      </c>
      <c r="G40" s="10" t="s">
        <v>33</v>
      </c>
      <c r="H40" s="87"/>
      <c r="I40" s="10" t="s">
        <v>33</v>
      </c>
      <c r="J40" s="78"/>
    </row>
    <row r="41" customFormat="false" ht="12.75" hidden="false" customHeight="true" outlineLevel="0" collapsed="false">
      <c r="F41" s="79" t="n">
        <v>11</v>
      </c>
      <c r="G41" s="10" t="s">
        <v>33</v>
      </c>
      <c r="H41" s="87"/>
      <c r="I41" s="10" t="s">
        <v>33</v>
      </c>
      <c r="J41" s="78"/>
    </row>
    <row r="42" customFormat="false" ht="12.75" hidden="false" customHeight="true" outlineLevel="0" collapsed="false">
      <c r="F42" s="79" t="n">
        <v>12</v>
      </c>
      <c r="G42" s="10" t="s">
        <v>33</v>
      </c>
      <c r="H42" s="87"/>
      <c r="I42" s="10" t="s">
        <v>33</v>
      </c>
      <c r="J42" s="78"/>
    </row>
    <row r="43" customFormat="false" ht="12.75" hidden="false" customHeight="true" outlineLevel="0" collapsed="false">
      <c r="F43" s="79" t="n">
        <v>13</v>
      </c>
      <c r="G43" s="10" t="s">
        <v>33</v>
      </c>
      <c r="H43" s="87"/>
      <c r="I43" s="10" t="s">
        <v>33</v>
      </c>
      <c r="J43" s="78"/>
    </row>
    <row r="44" customFormat="false" ht="12.75" hidden="false" customHeight="true" outlineLevel="0" collapsed="false">
      <c r="F44" s="79" t="n">
        <v>14</v>
      </c>
      <c r="G44" s="10" t="s">
        <v>33</v>
      </c>
      <c r="H44" s="87"/>
      <c r="I44" s="10" t="s">
        <v>33</v>
      </c>
      <c r="J44" s="78"/>
    </row>
    <row r="45" customFormat="false" ht="12.75" hidden="false" customHeight="true" outlineLevel="0" collapsed="false">
      <c r="F45" s="79" t="n">
        <v>15</v>
      </c>
      <c r="G45" s="10" t="s">
        <v>33</v>
      </c>
      <c r="H45" s="87"/>
      <c r="I45" s="10" t="s">
        <v>33</v>
      </c>
      <c r="J45" s="78"/>
    </row>
    <row r="46" customFormat="false" ht="12.75" hidden="false" customHeight="true" outlineLevel="0" collapsed="false">
      <c r="F46" s="79" t="n">
        <v>16</v>
      </c>
      <c r="G46" s="10" t="s">
        <v>33</v>
      </c>
      <c r="H46" s="87"/>
      <c r="I46" s="10" t="s">
        <v>33</v>
      </c>
      <c r="J46" s="78"/>
    </row>
    <row r="47" customFormat="false" ht="12.75" hidden="false" customHeight="true" outlineLevel="0" collapsed="false">
      <c r="F47" s="79" t="n">
        <v>17</v>
      </c>
      <c r="G47" s="10" t="s">
        <v>33</v>
      </c>
      <c r="H47" s="87"/>
      <c r="I47" s="10" t="s">
        <v>33</v>
      </c>
      <c r="J47" s="78"/>
    </row>
    <row r="48" customFormat="false" ht="12.75" hidden="false" customHeight="true" outlineLevel="0" collapsed="false">
      <c r="F48" s="79" t="n">
        <v>18</v>
      </c>
      <c r="G48" s="10" t="s">
        <v>33</v>
      </c>
      <c r="H48" s="87"/>
      <c r="I48" s="10" t="s">
        <v>33</v>
      </c>
      <c r="J48" s="78"/>
    </row>
    <row r="49" customFormat="false" ht="12.75" hidden="false" customHeight="true" outlineLevel="0" collapsed="false">
      <c r="F49" s="79" t="n">
        <v>19</v>
      </c>
      <c r="G49" s="10" t="s">
        <v>33</v>
      </c>
      <c r="H49" s="87"/>
      <c r="I49" s="10" t="s">
        <v>33</v>
      </c>
      <c r="J49" s="78"/>
    </row>
    <row r="50" customFormat="false" ht="12.75" hidden="false" customHeight="true" outlineLevel="0" collapsed="false">
      <c r="F50" s="79" t="n">
        <v>20</v>
      </c>
      <c r="G50" s="10" t="s">
        <v>33</v>
      </c>
      <c r="H50" s="87"/>
      <c r="I50" s="10" t="s">
        <v>33</v>
      </c>
      <c r="J50" s="78"/>
    </row>
    <row r="51" customFormat="false" ht="12.75" hidden="false" customHeight="true" outlineLevel="0" collapsed="false">
      <c r="F51" s="79" t="n">
        <v>21</v>
      </c>
      <c r="G51" s="10" t="s">
        <v>33</v>
      </c>
      <c r="H51" s="87"/>
      <c r="I51" s="10" t="s">
        <v>33</v>
      </c>
      <c r="J51" s="78"/>
    </row>
    <row r="52" customFormat="false" ht="12.75" hidden="false" customHeight="true" outlineLevel="0" collapsed="false">
      <c r="F52" s="79" t="n">
        <v>22</v>
      </c>
      <c r="G52" s="10" t="s">
        <v>33</v>
      </c>
      <c r="H52" s="87"/>
      <c r="I52" s="10" t="s">
        <v>33</v>
      </c>
      <c r="J52" s="78"/>
    </row>
    <row r="53" customFormat="false" ht="12.75" hidden="false" customHeight="true" outlineLevel="0" collapsed="false">
      <c r="F53" s="79" t="n">
        <v>23</v>
      </c>
      <c r="G53" s="10" t="s">
        <v>33</v>
      </c>
      <c r="H53" s="87"/>
      <c r="I53" s="10" t="s">
        <v>33</v>
      </c>
      <c r="J53" s="78"/>
    </row>
    <row r="54" customFormat="false" ht="12.75" hidden="false" customHeight="true" outlineLevel="0" collapsed="false">
      <c r="F54" s="79" t="n">
        <v>24</v>
      </c>
      <c r="G54" s="10" t="s">
        <v>33</v>
      </c>
      <c r="H54" s="87"/>
      <c r="I54" s="10" t="s">
        <v>33</v>
      </c>
      <c r="J54" s="78"/>
    </row>
    <row r="55" customFormat="false" ht="12.75" hidden="false" customHeight="true" outlineLevel="0" collapsed="false">
      <c r="F55" s="79" t="n">
        <v>25</v>
      </c>
      <c r="G55" s="10" t="s">
        <v>33</v>
      </c>
      <c r="H55" s="87"/>
      <c r="I55" s="10" t="s">
        <v>33</v>
      </c>
      <c r="J55" s="78"/>
    </row>
    <row r="56" customFormat="false" ht="12.75" hidden="false" customHeight="true" outlineLevel="0" collapsed="false">
      <c r="A56" s="82"/>
      <c r="B56" s="67"/>
      <c r="C56" s="67"/>
      <c r="D56" s="67"/>
      <c r="E56" s="67"/>
      <c r="F56" s="67"/>
      <c r="G56" s="67"/>
      <c r="H56" s="67"/>
      <c r="I56" s="10"/>
      <c r="J56" s="86"/>
    </row>
    <row r="57" customFormat="false" ht="12.75" hidden="false" customHeight="true" outlineLevel="0" collapsed="false">
      <c r="A57" s="82"/>
      <c r="B57" s="67"/>
      <c r="C57" s="67"/>
      <c r="D57" s="67"/>
      <c r="E57" s="67"/>
      <c r="F57" s="67"/>
      <c r="G57" s="67"/>
      <c r="H57" s="67"/>
      <c r="I57" s="10"/>
      <c r="J57" s="86"/>
    </row>
    <row r="58" customFormat="false" ht="99.75" hidden="false" customHeight="true" outlineLevel="0" collapsed="false">
      <c r="A58" s="88" t="s">
        <v>88</v>
      </c>
      <c r="B58" s="88"/>
      <c r="C58" s="88"/>
      <c r="D58" s="88"/>
      <c r="E58" s="88"/>
      <c r="F58" s="88"/>
      <c r="G58" s="88"/>
      <c r="H58" s="67"/>
      <c r="I58" s="10"/>
      <c r="J58" s="86"/>
    </row>
    <row r="59" customFormat="false" ht="12.75" hidden="false" customHeight="true" outlineLevel="0" collapsed="false">
      <c r="H59" s="67"/>
      <c r="I59" s="10"/>
      <c r="J59" s="86"/>
    </row>
    <row r="60" customFormat="false" ht="42" hidden="false" customHeight="true" outlineLevel="0" collapsed="false">
      <c r="B60" s="65" t="s">
        <v>89</v>
      </c>
      <c r="C60" s="65"/>
      <c r="D60" s="65"/>
      <c r="E60" s="65"/>
      <c r="F60" s="65"/>
      <c r="G60" s="65"/>
      <c r="H60" s="67"/>
      <c r="I60" s="10"/>
      <c r="J60" s="86"/>
    </row>
    <row r="61" customFormat="false" ht="79.5" hidden="false" customHeight="true" outlineLevel="0" collapsed="false">
      <c r="D61" s="50" t="s">
        <v>86</v>
      </c>
      <c r="F61" s="50" t="str">
        <f aca="false">'Propane Index'!B4</f>
        <v>Date (mm/dd/yy)</v>
      </c>
      <c r="H61" s="50" t="s">
        <v>87</v>
      </c>
      <c r="I61" s="22"/>
      <c r="J61" s="50" t="s">
        <v>90</v>
      </c>
    </row>
    <row r="62" customFormat="false" ht="12.75" hidden="false" customHeight="true" outlineLevel="0" collapsed="false">
      <c r="D62" s="59" t="n">
        <v>1</v>
      </c>
      <c r="E62" s="10" t="s">
        <v>33</v>
      </c>
      <c r="F62" s="87" t="n">
        <v>36671</v>
      </c>
      <c r="G62" s="10" t="s">
        <v>33</v>
      </c>
      <c r="H62" s="89" t="n">
        <v>0.575</v>
      </c>
      <c r="I62" s="10" t="s">
        <v>33</v>
      </c>
      <c r="J62" s="90" t="n">
        <f aca="false">24/24</f>
        <v>1</v>
      </c>
    </row>
    <row r="63" customFormat="false" ht="12.75" hidden="false" customHeight="true" outlineLevel="0" collapsed="false">
      <c r="D63" s="79" t="n">
        <v>2</v>
      </c>
      <c r="E63" s="10" t="s">
        <v>33</v>
      </c>
      <c r="F63" s="87" t="n">
        <v>36672</v>
      </c>
      <c r="G63" s="10" t="s">
        <v>33</v>
      </c>
      <c r="H63" s="89" t="n">
        <v>0.575</v>
      </c>
      <c r="I63" s="10" t="s">
        <v>33</v>
      </c>
      <c r="J63" s="90" t="n">
        <v>0.5</v>
      </c>
    </row>
    <row r="64" customFormat="false" ht="12.75" hidden="false" customHeight="true" outlineLevel="0" collapsed="false">
      <c r="D64" s="79" t="n">
        <v>3</v>
      </c>
      <c r="E64" s="10" t="s">
        <v>33</v>
      </c>
      <c r="F64" s="87"/>
      <c r="G64" s="10" t="s">
        <v>33</v>
      </c>
      <c r="H64" s="90"/>
      <c r="I64" s="10" t="s">
        <v>33</v>
      </c>
      <c r="J64" s="90"/>
    </row>
    <row r="65" customFormat="false" ht="12.75" hidden="false" customHeight="true" outlineLevel="0" collapsed="false">
      <c r="D65" s="79" t="n">
        <v>4</v>
      </c>
      <c r="E65" s="10" t="s">
        <v>33</v>
      </c>
      <c r="F65" s="87"/>
      <c r="G65" s="10" t="s">
        <v>33</v>
      </c>
      <c r="H65" s="90"/>
      <c r="I65" s="10" t="s">
        <v>33</v>
      </c>
      <c r="J65" s="90"/>
    </row>
    <row r="66" customFormat="false" ht="12.75" hidden="false" customHeight="true" outlineLevel="0" collapsed="false">
      <c r="D66" s="79" t="n">
        <v>5</v>
      </c>
      <c r="E66" s="10" t="s">
        <v>33</v>
      </c>
      <c r="F66" s="87"/>
      <c r="G66" s="10" t="s">
        <v>33</v>
      </c>
      <c r="H66" s="90"/>
      <c r="I66" s="10" t="s">
        <v>33</v>
      </c>
      <c r="J66" s="90"/>
    </row>
    <row r="67" customFormat="false" ht="12.75" hidden="false" customHeight="true" outlineLevel="0" collapsed="false">
      <c r="D67" s="79" t="n">
        <v>6</v>
      </c>
      <c r="E67" s="10" t="s">
        <v>33</v>
      </c>
      <c r="F67" s="87"/>
      <c r="G67" s="10" t="s">
        <v>33</v>
      </c>
      <c r="H67" s="90"/>
      <c r="I67" s="10" t="s">
        <v>33</v>
      </c>
      <c r="J67" s="90"/>
    </row>
    <row r="68" customFormat="false" ht="12.75" hidden="false" customHeight="true" outlineLevel="0" collapsed="false">
      <c r="D68" s="79" t="n">
        <v>7</v>
      </c>
      <c r="E68" s="10" t="s">
        <v>33</v>
      </c>
      <c r="F68" s="87"/>
      <c r="G68" s="10" t="s">
        <v>33</v>
      </c>
      <c r="H68" s="90"/>
      <c r="I68" s="10" t="s">
        <v>33</v>
      </c>
      <c r="J68" s="90"/>
    </row>
    <row r="69" customFormat="false" ht="12.75" hidden="false" customHeight="true" outlineLevel="0" collapsed="false">
      <c r="D69" s="79" t="n">
        <v>8</v>
      </c>
      <c r="E69" s="10" t="s">
        <v>33</v>
      </c>
      <c r="F69" s="87"/>
      <c r="G69" s="10" t="s">
        <v>33</v>
      </c>
      <c r="H69" s="90"/>
      <c r="I69" s="10" t="s">
        <v>33</v>
      </c>
      <c r="J69" s="90"/>
    </row>
    <row r="70" customFormat="false" ht="12.75" hidden="false" customHeight="true" outlineLevel="0" collapsed="false">
      <c r="D70" s="79" t="n">
        <v>9</v>
      </c>
      <c r="E70" s="10" t="s">
        <v>33</v>
      </c>
      <c r="F70" s="87"/>
      <c r="G70" s="10" t="s">
        <v>33</v>
      </c>
      <c r="H70" s="90"/>
      <c r="I70" s="10" t="s">
        <v>33</v>
      </c>
      <c r="J70" s="90"/>
    </row>
    <row r="71" customFormat="false" ht="12.75" hidden="false" customHeight="true" outlineLevel="0" collapsed="false">
      <c r="D71" s="79" t="n">
        <v>10</v>
      </c>
      <c r="E71" s="10" t="s">
        <v>33</v>
      </c>
      <c r="F71" s="87"/>
      <c r="G71" s="10" t="s">
        <v>33</v>
      </c>
      <c r="H71" s="90"/>
      <c r="I71" s="10" t="s">
        <v>33</v>
      </c>
      <c r="J71" s="90"/>
    </row>
    <row r="72" customFormat="false" ht="12.75" hidden="false" customHeight="true" outlineLevel="0" collapsed="false">
      <c r="D72" s="79" t="n">
        <v>11</v>
      </c>
      <c r="E72" s="10" t="s">
        <v>33</v>
      </c>
      <c r="F72" s="87"/>
      <c r="G72" s="10" t="s">
        <v>33</v>
      </c>
      <c r="H72" s="90"/>
      <c r="I72" s="10" t="s">
        <v>33</v>
      </c>
      <c r="J72" s="90"/>
    </row>
    <row r="73" customFormat="false" ht="12.75" hidden="false" customHeight="true" outlineLevel="0" collapsed="false">
      <c r="D73" s="79" t="n">
        <v>12</v>
      </c>
      <c r="E73" s="10" t="s">
        <v>33</v>
      </c>
      <c r="F73" s="87"/>
      <c r="G73" s="10" t="s">
        <v>33</v>
      </c>
      <c r="H73" s="90"/>
      <c r="I73" s="10" t="s">
        <v>33</v>
      </c>
      <c r="J73" s="90"/>
    </row>
    <row r="74" customFormat="false" ht="12.75" hidden="false" customHeight="true" outlineLevel="0" collapsed="false">
      <c r="D74" s="79" t="n">
        <v>13</v>
      </c>
      <c r="E74" s="10" t="s">
        <v>33</v>
      </c>
      <c r="F74" s="87"/>
      <c r="G74" s="10" t="s">
        <v>33</v>
      </c>
      <c r="H74" s="90"/>
      <c r="I74" s="10" t="s">
        <v>33</v>
      </c>
      <c r="J74" s="90"/>
    </row>
    <row r="75" customFormat="false" ht="12.75" hidden="false" customHeight="true" outlineLevel="0" collapsed="false">
      <c r="D75" s="79" t="n">
        <v>14</v>
      </c>
      <c r="E75" s="10" t="s">
        <v>33</v>
      </c>
      <c r="F75" s="87"/>
      <c r="G75" s="10" t="s">
        <v>33</v>
      </c>
      <c r="H75" s="90"/>
      <c r="I75" s="10" t="s">
        <v>33</v>
      </c>
      <c r="J75" s="90"/>
    </row>
    <row r="76" customFormat="false" ht="12.75" hidden="false" customHeight="true" outlineLevel="0" collapsed="false">
      <c r="D76" s="79" t="n">
        <v>15</v>
      </c>
      <c r="E76" s="10" t="s">
        <v>33</v>
      </c>
      <c r="F76" s="87"/>
      <c r="G76" s="10" t="s">
        <v>33</v>
      </c>
      <c r="H76" s="90"/>
      <c r="I76" s="10" t="s">
        <v>33</v>
      </c>
      <c r="J76" s="90"/>
    </row>
    <row r="77" customFormat="false" ht="12.75" hidden="false" customHeight="true" outlineLevel="0" collapsed="false">
      <c r="D77" s="79" t="n">
        <v>16</v>
      </c>
      <c r="E77" s="10" t="s">
        <v>33</v>
      </c>
      <c r="F77" s="87"/>
      <c r="G77" s="10" t="s">
        <v>33</v>
      </c>
      <c r="H77" s="90"/>
      <c r="I77" s="10" t="s">
        <v>33</v>
      </c>
      <c r="J77" s="90"/>
    </row>
    <row r="78" customFormat="false" ht="12.75" hidden="false" customHeight="true" outlineLevel="0" collapsed="false">
      <c r="D78" s="79" t="n">
        <v>17</v>
      </c>
      <c r="E78" s="10" t="s">
        <v>33</v>
      </c>
      <c r="F78" s="87"/>
      <c r="G78" s="10" t="s">
        <v>33</v>
      </c>
      <c r="H78" s="90"/>
      <c r="I78" s="10" t="s">
        <v>33</v>
      </c>
      <c r="J78" s="90"/>
    </row>
    <row r="79" customFormat="false" ht="12.75" hidden="false" customHeight="true" outlineLevel="0" collapsed="false">
      <c r="D79" s="79" t="n">
        <v>18</v>
      </c>
      <c r="E79" s="10" t="s">
        <v>33</v>
      </c>
      <c r="F79" s="87"/>
      <c r="G79" s="10" t="s">
        <v>33</v>
      </c>
      <c r="H79" s="90"/>
      <c r="I79" s="10" t="s">
        <v>33</v>
      </c>
      <c r="J79" s="90"/>
    </row>
    <row r="80" customFormat="false" ht="12.75" hidden="false" customHeight="true" outlineLevel="0" collapsed="false">
      <c r="D80" s="79" t="n">
        <v>19</v>
      </c>
      <c r="E80" s="10" t="s">
        <v>33</v>
      </c>
      <c r="F80" s="87"/>
      <c r="G80" s="10" t="s">
        <v>33</v>
      </c>
      <c r="H80" s="90"/>
      <c r="I80" s="10" t="s">
        <v>33</v>
      </c>
      <c r="J80" s="90"/>
    </row>
    <row r="81" customFormat="false" ht="12.75" hidden="false" customHeight="true" outlineLevel="0" collapsed="false">
      <c r="D81" s="79" t="n">
        <v>20</v>
      </c>
      <c r="E81" s="10" t="s">
        <v>33</v>
      </c>
      <c r="F81" s="87"/>
      <c r="G81" s="10" t="s">
        <v>33</v>
      </c>
      <c r="H81" s="90"/>
      <c r="I81" s="10" t="s">
        <v>33</v>
      </c>
      <c r="J81" s="90"/>
    </row>
    <row r="82" customFormat="false" ht="12.75" hidden="false" customHeight="true" outlineLevel="0" collapsed="false">
      <c r="D82" s="79" t="n">
        <v>21</v>
      </c>
      <c r="E82" s="10" t="s">
        <v>33</v>
      </c>
      <c r="F82" s="87"/>
      <c r="G82" s="10" t="s">
        <v>33</v>
      </c>
      <c r="H82" s="90"/>
      <c r="I82" s="10" t="s">
        <v>33</v>
      </c>
      <c r="J82" s="90"/>
    </row>
    <row r="83" customFormat="false" ht="12.75" hidden="false" customHeight="true" outlineLevel="0" collapsed="false">
      <c r="D83" s="79" t="n">
        <v>22</v>
      </c>
      <c r="E83" s="10" t="s">
        <v>33</v>
      </c>
      <c r="F83" s="87"/>
      <c r="G83" s="10" t="s">
        <v>33</v>
      </c>
      <c r="H83" s="90"/>
      <c r="I83" s="10" t="s">
        <v>33</v>
      </c>
      <c r="J83" s="90"/>
    </row>
    <row r="84" customFormat="false" ht="12.75" hidden="false" customHeight="true" outlineLevel="0" collapsed="false">
      <c r="D84" s="79" t="n">
        <v>23</v>
      </c>
      <c r="E84" s="10" t="s">
        <v>33</v>
      </c>
      <c r="F84" s="87"/>
      <c r="G84" s="10" t="s">
        <v>33</v>
      </c>
      <c r="H84" s="90"/>
      <c r="I84" s="10" t="s">
        <v>33</v>
      </c>
      <c r="J84" s="90"/>
    </row>
    <row r="85" customFormat="false" ht="12.75" hidden="false" customHeight="true" outlineLevel="0" collapsed="false">
      <c r="D85" s="79" t="n">
        <v>24</v>
      </c>
      <c r="E85" s="10" t="s">
        <v>33</v>
      </c>
      <c r="F85" s="87"/>
      <c r="G85" s="10" t="s">
        <v>33</v>
      </c>
      <c r="H85" s="90"/>
      <c r="I85" s="10" t="s">
        <v>33</v>
      </c>
      <c r="J85" s="90"/>
    </row>
    <row r="86" customFormat="false" ht="12.75" hidden="false" customHeight="true" outlineLevel="0" collapsed="false">
      <c r="D86" s="79" t="n">
        <v>25</v>
      </c>
      <c r="E86" s="10" t="s">
        <v>33</v>
      </c>
      <c r="F86" s="87"/>
      <c r="G86" s="10" t="s">
        <v>33</v>
      </c>
      <c r="H86" s="90"/>
      <c r="I86" s="10" t="s">
        <v>33</v>
      </c>
      <c r="J86" s="90"/>
    </row>
    <row r="87" customFormat="false" ht="12.75" hidden="false" customHeight="true" outlineLevel="0" collapsed="false">
      <c r="A87" s="82"/>
      <c r="B87" s="67"/>
      <c r="C87" s="67"/>
      <c r="D87" s="67"/>
      <c r="E87" s="67"/>
      <c r="F87" s="67"/>
      <c r="G87" s="67"/>
      <c r="H87" s="67"/>
      <c r="I87" s="10"/>
      <c r="J87" s="86"/>
    </row>
    <row r="88" customFormat="false" ht="12.75" hidden="false" customHeight="true" outlineLevel="0" collapsed="false">
      <c r="A88" s="82"/>
      <c r="B88" s="67"/>
      <c r="C88" s="67"/>
      <c r="D88" s="67"/>
      <c r="E88" s="67"/>
      <c r="F88" s="67"/>
      <c r="G88" s="67"/>
      <c r="H88" s="67"/>
      <c r="I88" s="10"/>
      <c r="J88" s="86"/>
    </row>
    <row r="89" customFormat="false" ht="12.75" hidden="false" customHeight="true" outlineLevel="0" collapsed="false">
      <c r="A89" s="82"/>
      <c r="B89" s="67"/>
      <c r="C89" s="67"/>
      <c r="D89" s="67"/>
      <c r="E89" s="67"/>
      <c r="F89" s="67"/>
      <c r="G89" s="67"/>
      <c r="H89" s="67"/>
      <c r="I89" s="10"/>
      <c r="J89" s="86"/>
    </row>
    <row r="90" customFormat="false" ht="42" hidden="false" customHeight="true" outlineLevel="0" collapsed="false">
      <c r="A90" s="91" t="s">
        <v>91</v>
      </c>
      <c r="B90" s="91"/>
      <c r="C90" s="91"/>
      <c r="D90" s="91"/>
      <c r="E90" s="91"/>
      <c r="F90" s="91"/>
      <c r="G90" s="91"/>
      <c r="H90" s="91"/>
      <c r="I90" s="19"/>
    </row>
    <row r="91" customFormat="false" ht="12.75" hidden="false" customHeight="true" outlineLevel="0" collapsed="false">
      <c r="A91" s="44"/>
      <c r="B91" s="44"/>
      <c r="C91" s="44"/>
      <c r="D91" s="44"/>
      <c r="E91" s="44"/>
      <c r="F91" s="44"/>
      <c r="G91" s="44"/>
      <c r="H91" s="44"/>
      <c r="I91" s="19"/>
    </row>
    <row r="92" customFormat="false" ht="13.5" hidden="false" customHeight="true" outlineLevel="0" collapsed="false">
      <c r="A92" s="1"/>
      <c r="B92" s="65" t="s">
        <v>92</v>
      </c>
      <c r="C92" s="65"/>
      <c r="D92" s="65"/>
      <c r="E92" s="65"/>
      <c r="F92" s="65"/>
      <c r="G92" s="65"/>
      <c r="H92" s="65"/>
      <c r="I92" s="10" t="s">
        <v>33</v>
      </c>
      <c r="J92" s="92" t="n">
        <v>113000</v>
      </c>
    </row>
    <row r="93" customFormat="false" ht="12.75" hidden="false" customHeight="true" outlineLevel="0" collapsed="false">
      <c r="A93" s="1"/>
      <c r="B93" s="67"/>
      <c r="C93" s="67"/>
      <c r="D93" s="67"/>
      <c r="E93" s="67"/>
      <c r="F93" s="67"/>
      <c r="G93" s="67"/>
      <c r="H93" s="67"/>
      <c r="I93" s="10"/>
    </row>
    <row r="94" customFormat="false" ht="16.5" hidden="false" customHeight="true" outlineLevel="0" collapsed="false">
      <c r="A94" s="1"/>
      <c r="B94" s="65" t="s">
        <v>93</v>
      </c>
      <c r="C94" s="65"/>
      <c r="D94" s="65"/>
      <c r="E94" s="65"/>
      <c r="F94" s="65"/>
      <c r="G94" s="65"/>
      <c r="H94" s="65"/>
      <c r="I94" s="10" t="s">
        <v>33</v>
      </c>
      <c r="J94" s="92" t="n">
        <v>119000</v>
      </c>
    </row>
    <row r="95" customFormat="false" ht="12.75" hidden="false" customHeight="true" outlineLevel="0" collapsed="false">
      <c r="A95" s="82"/>
      <c r="B95" s="84"/>
      <c r="C95" s="84"/>
      <c r="D95" s="84"/>
      <c r="E95" s="84"/>
      <c r="F95" s="84"/>
      <c r="G95" s="84"/>
      <c r="H95" s="84"/>
      <c r="I95" s="10"/>
      <c r="J95" s="85"/>
    </row>
    <row r="96" customFormat="false" ht="12.75" hidden="false" customHeight="true" outlineLevel="0" collapsed="false">
      <c r="A96" s="21" t="s">
        <v>94</v>
      </c>
      <c r="I96" s="10" t="s">
        <v>33</v>
      </c>
      <c r="J96" s="92" t="n">
        <v>2756332</v>
      </c>
    </row>
    <row r="97" customFormat="false" ht="12.75" hidden="false" customHeight="true" outlineLevel="0" collapsed="false">
      <c r="A97" s="21"/>
      <c r="I97" s="10"/>
      <c r="J97" s="93"/>
    </row>
    <row r="98" customFormat="false" ht="12.75" hidden="false" customHeight="false" outlineLevel="0" collapsed="false">
      <c r="A98" s="21" t="s">
        <v>95</v>
      </c>
      <c r="I98" s="10"/>
      <c r="J98" s="93"/>
    </row>
    <row r="99" customFormat="false" ht="12.75" hidden="false" customHeight="false" outlineLevel="0" collapsed="false">
      <c r="A99" s="21"/>
      <c r="B99" s="20" t="s">
        <v>96</v>
      </c>
      <c r="I99" s="10" t="s">
        <v>33</v>
      </c>
      <c r="J99" s="94" t="s">
        <v>71</v>
      </c>
    </row>
    <row r="100" customFormat="false" ht="12.75" hidden="false" customHeight="false" outlineLevel="0" collapsed="false">
      <c r="A100" s="21"/>
      <c r="I100" s="10"/>
      <c r="J100" s="95"/>
    </row>
    <row r="101" customFormat="false" ht="26.25" hidden="false" customHeight="true" outlineLevel="0" collapsed="false">
      <c r="A101" s="21"/>
      <c r="B101" s="28" t="s">
        <v>97</v>
      </c>
      <c r="C101" s="28"/>
      <c r="D101" s="28"/>
      <c r="E101" s="28"/>
      <c r="F101" s="28"/>
      <c r="G101" s="28"/>
      <c r="H101" s="28"/>
      <c r="I101" s="10" t="s">
        <v>33</v>
      </c>
      <c r="J101" s="94" t="s">
        <v>71</v>
      </c>
    </row>
    <row r="102" customFormat="false" ht="12.75" hidden="false" customHeight="true" outlineLevel="0" collapsed="false">
      <c r="A102" s="21"/>
      <c r="B102" s="84"/>
      <c r="C102" s="84"/>
      <c r="D102" s="84"/>
      <c r="E102" s="84"/>
      <c r="F102" s="84"/>
      <c r="G102" s="84"/>
      <c r="H102" s="84"/>
      <c r="I102" s="10"/>
      <c r="J102" s="94"/>
    </row>
    <row r="103" customFormat="false" ht="16.5" hidden="false" customHeight="true" outlineLevel="0" collapsed="false">
      <c r="A103" s="21" t="s">
        <v>98</v>
      </c>
      <c r="B103" s="84"/>
      <c r="C103" s="84"/>
      <c r="D103" s="84"/>
      <c r="E103" s="84"/>
      <c r="F103" s="84"/>
      <c r="G103" s="84"/>
      <c r="H103" s="84"/>
      <c r="I103" s="10"/>
      <c r="J103" s="85"/>
    </row>
    <row r="104" customFormat="false" ht="49.5" hidden="false" customHeight="true" outlineLevel="0" collapsed="false">
      <c r="B104" s="65" t="s">
        <v>99</v>
      </c>
      <c r="C104" s="65"/>
      <c r="D104" s="65"/>
      <c r="E104" s="65"/>
      <c r="F104" s="65"/>
      <c r="G104" s="65"/>
      <c r="H104" s="65"/>
      <c r="I104" s="10" t="s">
        <v>33</v>
      </c>
      <c r="J104" s="94" t="s">
        <v>71</v>
      </c>
    </row>
    <row r="105" customFormat="false" ht="12.75" hidden="false" customHeight="true" outlineLevel="0" collapsed="false">
      <c r="B105" s="67"/>
      <c r="C105" s="67"/>
      <c r="D105" s="67"/>
      <c r="E105" s="67"/>
      <c r="F105" s="67"/>
      <c r="G105" s="67"/>
      <c r="H105" s="67"/>
      <c r="I105" s="10"/>
      <c r="J105" s="95"/>
    </row>
    <row r="106" customFormat="false" ht="42" hidden="false" customHeight="true" outlineLevel="0" collapsed="false">
      <c r="B106" s="65" t="s">
        <v>100</v>
      </c>
      <c r="C106" s="65"/>
      <c r="D106" s="65"/>
      <c r="E106" s="65"/>
      <c r="F106" s="65"/>
      <c r="G106" s="65"/>
      <c r="H106" s="65"/>
      <c r="I106" s="10" t="s">
        <v>33</v>
      </c>
      <c r="J106" s="94" t="s">
        <v>71</v>
      </c>
    </row>
    <row r="107" customFormat="false" ht="12.75" hidden="false" customHeight="true" outlineLevel="0" collapsed="false">
      <c r="I107" s="19"/>
    </row>
    <row r="108" customFormat="false" ht="15" hidden="false" customHeight="true" outlineLevel="0" collapsed="false">
      <c r="B108" s="65" t="s">
        <v>101</v>
      </c>
      <c r="C108" s="65"/>
      <c r="D108" s="65"/>
      <c r="E108" s="65"/>
      <c r="F108" s="65"/>
      <c r="G108" s="65"/>
      <c r="H108" s="65"/>
      <c r="I108" s="10" t="s">
        <v>33</v>
      </c>
      <c r="J108" s="92" t="n">
        <v>2300000</v>
      </c>
    </row>
    <row r="109" customFormat="false" ht="12.75" hidden="false" customHeight="true" outlineLevel="0" collapsed="false">
      <c r="A109" s="1"/>
      <c r="B109" s="67"/>
      <c r="C109" s="67"/>
      <c r="D109" s="67"/>
      <c r="E109" s="67"/>
      <c r="F109" s="67"/>
      <c r="G109" s="67"/>
      <c r="H109" s="67"/>
      <c r="I109" s="10"/>
      <c r="J109" s="93"/>
    </row>
    <row r="110" customFormat="false" ht="41.25" hidden="false" customHeight="true" outlineLevel="0" collapsed="false">
      <c r="A110" s="91" t="s">
        <v>102</v>
      </c>
      <c r="B110" s="91"/>
      <c r="C110" s="91"/>
      <c r="D110" s="91"/>
      <c r="E110" s="91"/>
      <c r="F110" s="91"/>
      <c r="G110" s="91"/>
      <c r="H110" s="91"/>
      <c r="I110" s="10"/>
      <c r="J110" s="85"/>
    </row>
    <row r="111" customFormat="false" ht="12.75" hidden="false" customHeight="true" outlineLevel="0" collapsed="false">
      <c r="B111" s="82"/>
      <c r="C111" s="84"/>
      <c r="D111" s="84"/>
      <c r="E111" s="84"/>
      <c r="F111" s="84"/>
      <c r="G111" s="84"/>
      <c r="H111" s="84"/>
      <c r="I111" s="10"/>
      <c r="J111" s="85"/>
    </row>
    <row r="112" customFormat="false" ht="24" hidden="false" customHeight="true" outlineLevel="0" collapsed="false">
      <c r="B112" s="65" t="s">
        <v>103</v>
      </c>
      <c r="C112" s="65"/>
      <c r="D112" s="65"/>
      <c r="E112" s="65"/>
      <c r="F112" s="65"/>
      <c r="G112" s="65"/>
      <c r="H112" s="65"/>
      <c r="I112" s="22" t="s">
        <v>33</v>
      </c>
      <c r="J112" s="96" t="n">
        <v>2800001</v>
      </c>
    </row>
    <row r="113" customFormat="false" ht="12.75" hidden="false" customHeight="true" outlineLevel="0" collapsed="false">
      <c r="B113" s="67"/>
      <c r="C113" s="67"/>
      <c r="D113" s="67"/>
      <c r="E113" s="67"/>
      <c r="F113" s="67"/>
      <c r="G113" s="67"/>
      <c r="H113" s="67"/>
      <c r="I113" s="22"/>
      <c r="J113" s="96"/>
    </row>
    <row r="114" customFormat="false" ht="12.75" hidden="false" customHeight="true" outlineLevel="0" collapsed="false">
      <c r="A114" s="77" t="s">
        <v>104</v>
      </c>
      <c r="B114" s="77"/>
      <c r="C114" s="77"/>
      <c r="D114" s="77"/>
      <c r="E114" s="77"/>
      <c r="F114" s="77"/>
      <c r="I114" s="19"/>
    </row>
    <row r="115" customFormat="false" ht="12.75" hidden="false" customHeight="false" outlineLevel="0" collapsed="false">
      <c r="A115" s="82"/>
      <c r="B115" s="82"/>
      <c r="C115" s="82"/>
      <c r="D115" s="82"/>
      <c r="E115" s="82"/>
      <c r="F115" s="82"/>
      <c r="I115" s="19"/>
    </row>
    <row r="116" customFormat="false" ht="15" hidden="false" customHeight="true" outlineLevel="0" collapsed="false">
      <c r="A116" s="82"/>
      <c r="B116" s="20" t="s">
        <v>105</v>
      </c>
      <c r="I116" s="10" t="s">
        <v>33</v>
      </c>
      <c r="J116" s="94" t="s">
        <v>79</v>
      </c>
    </row>
    <row r="117" customFormat="false" ht="12.75" hidden="false" customHeight="false" outlineLevel="0" collapsed="false">
      <c r="A117" s="82"/>
      <c r="B117" s="82"/>
      <c r="C117" s="82"/>
      <c r="D117" s="82"/>
      <c r="E117" s="82"/>
      <c r="F117" s="82"/>
      <c r="I117" s="19"/>
    </row>
    <row r="118" customFormat="false" ht="27.75" hidden="false" customHeight="true" outlineLevel="0" collapsed="false">
      <c r="A118" s="82"/>
      <c r="B118" s="65" t="s">
        <v>106</v>
      </c>
      <c r="C118" s="65"/>
      <c r="D118" s="65"/>
      <c r="E118" s="65"/>
      <c r="F118" s="65"/>
      <c r="G118" s="65"/>
      <c r="H118" s="65"/>
      <c r="I118" s="10" t="s">
        <v>33</v>
      </c>
      <c r="J118" s="94" t="s">
        <v>79</v>
      </c>
    </row>
    <row r="119" customFormat="false" ht="12.75" hidden="false" customHeight="false" outlineLevel="0" collapsed="false">
      <c r="A119" s="82"/>
      <c r="B119" s="20"/>
      <c r="C119" s="82"/>
      <c r="D119" s="82"/>
      <c r="E119" s="82"/>
      <c r="F119" s="82"/>
      <c r="I119" s="19"/>
    </row>
    <row r="120" customFormat="false" ht="30" hidden="false" customHeight="true" outlineLevel="0" collapsed="false">
      <c r="B120" s="97" t="s">
        <v>107</v>
      </c>
      <c r="C120" s="97"/>
      <c r="D120" s="97"/>
      <c r="E120" s="97"/>
      <c r="F120" s="97"/>
      <c r="G120" s="97"/>
      <c r="H120" s="97"/>
      <c r="I120" s="10" t="s">
        <v>33</v>
      </c>
      <c r="J120" s="98" t="n">
        <v>0</v>
      </c>
    </row>
    <row r="121" customFormat="false" ht="12.75" hidden="false" customHeight="false" outlineLevel="0" collapsed="false">
      <c r="I121" s="19"/>
    </row>
    <row r="122" customFormat="false" ht="42" hidden="false" customHeight="true" outlineLevel="0" collapsed="false">
      <c r="B122" s="65" t="s">
        <v>108</v>
      </c>
      <c r="C122" s="65"/>
      <c r="D122" s="65"/>
      <c r="E122" s="65"/>
      <c r="F122" s="65"/>
      <c r="G122" s="65"/>
      <c r="H122" s="65"/>
      <c r="I122" s="10" t="s">
        <v>33</v>
      </c>
      <c r="J122" s="98" t="n">
        <v>0</v>
      </c>
    </row>
    <row r="123" customFormat="false" ht="12.75" hidden="false" customHeight="false" outlineLevel="0" collapsed="false">
      <c r="I123" s="19"/>
    </row>
    <row r="124" customFormat="false" ht="48" hidden="false" customHeight="true" outlineLevel="0" collapsed="false">
      <c r="A124" s="91" t="s">
        <v>109</v>
      </c>
      <c r="B124" s="91"/>
      <c r="C124" s="91"/>
      <c r="D124" s="91"/>
      <c r="E124" s="91"/>
      <c r="F124" s="91"/>
      <c r="G124" s="91"/>
      <c r="H124" s="91"/>
      <c r="I124" s="10" t="s">
        <v>33</v>
      </c>
      <c r="J124" s="98" t="n">
        <v>0.1</v>
      </c>
    </row>
  </sheetData>
  <mergeCells count="29">
    <mergeCell ref="B6:H6"/>
    <mergeCell ref="B8:H8"/>
    <mergeCell ref="D9:F9"/>
    <mergeCell ref="A10:H10"/>
    <mergeCell ref="B11:H11"/>
    <mergeCell ref="B13:H13"/>
    <mergeCell ref="B15:H15"/>
    <mergeCell ref="A17:H17"/>
    <mergeCell ref="B18:H18"/>
    <mergeCell ref="B20:H20"/>
    <mergeCell ref="B22:H22"/>
    <mergeCell ref="A24:H24"/>
    <mergeCell ref="B29:H29"/>
    <mergeCell ref="A58:G58"/>
    <mergeCell ref="B60:G60"/>
    <mergeCell ref="A90:H90"/>
    <mergeCell ref="B92:H92"/>
    <mergeCell ref="B94:H94"/>
    <mergeCell ref="B101:H101"/>
    <mergeCell ref="B104:H104"/>
    <mergeCell ref="B106:H106"/>
    <mergeCell ref="B108:H108"/>
    <mergeCell ref="A110:H110"/>
    <mergeCell ref="B112:H112"/>
    <mergeCell ref="A114:F114"/>
    <mergeCell ref="B118:H118"/>
    <mergeCell ref="B120:H120"/>
    <mergeCell ref="B122:H122"/>
    <mergeCell ref="A124:H124"/>
  </mergeCells>
  <printOptions headings="false" gridLines="false" gridLinesSet="true" horizontalCentered="false" verticalCentered="false"/>
  <pageMargins left="0.747916666666667" right="0.747916666666667" top="0.5" bottom="0.984027777777778" header="0.5" footer="0.5"/>
  <pageSetup paperSize="1" scale="90" fitToWidth="1" fitToHeight="1" pageOrder="downThenOver" orientation="portrait" blackAndWhite="false" draft="false" cellComments="none" horizontalDpi="300" verticalDpi="300" copies="1"/>
  <headerFooter differentFirst="false" differentOddEven="false">
    <oddHeader>&amp;LEcoElectrica LP
LNG Sales Contract
Cargo Input</oddHeader>
    <oddFooter>&amp;LLNG Sales Contract
 &amp;D  
 &amp;T&amp;C1st Cargo Input&amp;R&amp;P of &amp;N</oddFooter>
  </headerFooter>
  <rowBreaks count="3" manualBreakCount="3">
    <brk id="25" man="true" max="16383" min="0"/>
    <brk id="55" man="true" max="16383" min="0"/>
    <brk id="87" man="true" max="16383" min="0"/>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3:H4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14" activeCellId="0" sqref="G14"/>
    </sheetView>
  </sheetViews>
  <sheetFormatPr defaultColWidth="9.0546875" defaultRowHeight="12.75" customHeight="true" zeroHeight="false" outlineLevelRow="0" outlineLevelCol="0"/>
  <cols>
    <col collapsed="false" customWidth="true" hidden="false" outlineLevel="0" max="1" min="1" style="0" width="10.99"/>
    <col collapsed="false" customWidth="true" hidden="false" outlineLevel="0" max="2" min="2" style="0" width="8.41"/>
    <col collapsed="false" customWidth="true" hidden="false" outlineLevel="0" max="3" min="3" style="0" width="12.14"/>
    <col collapsed="false" customWidth="true" hidden="false" outlineLevel="0" max="4" min="4" style="0" width="10.13"/>
    <col collapsed="false" customWidth="true" hidden="false" outlineLevel="0" max="5" min="5" style="0" width="15.99"/>
    <col collapsed="false" customWidth="true" hidden="false" outlineLevel="0" max="6" min="6" style="0" width="12.14"/>
    <col collapsed="false" customWidth="true" hidden="false" outlineLevel="0" max="7" min="7" style="0" width="13.56"/>
    <col collapsed="false" customWidth="true" hidden="false" outlineLevel="0" max="8" min="8" style="0" width="15.28"/>
    <col collapsed="false" customWidth="true" hidden="false" outlineLevel="0" max="9" min="9" style="0" width="15.7"/>
  </cols>
  <sheetData>
    <row r="3" customFormat="false" ht="12.75" hidden="false" customHeight="false" outlineLevel="0" collapsed="false">
      <c r="A3" s="21" t="s">
        <v>110</v>
      </c>
    </row>
    <row r="4" customFormat="false" ht="12.75" hidden="false" customHeight="false" outlineLevel="0" collapsed="false">
      <c r="A4" s="20" t="s">
        <v>111</v>
      </c>
      <c r="F4" s="10" t="s">
        <v>33</v>
      </c>
      <c r="G4" s="92" t="n">
        <v>113000</v>
      </c>
      <c r="H4" s="0" t="s">
        <v>112</v>
      </c>
    </row>
    <row r="5" customFormat="false" ht="12.75" hidden="false" customHeight="false" outlineLevel="0" collapsed="false">
      <c r="G5" s="99"/>
    </row>
    <row r="6" customFormat="false" ht="12.75" hidden="false" customHeight="false" outlineLevel="0" collapsed="false">
      <c r="A6" s="20" t="s">
        <v>113</v>
      </c>
      <c r="F6" s="10" t="s">
        <v>33</v>
      </c>
      <c r="G6" s="100" t="n">
        <v>30</v>
      </c>
    </row>
    <row r="7" customFormat="false" ht="12.75" hidden="false" customHeight="false" outlineLevel="0" collapsed="false">
      <c r="A7" s="20"/>
      <c r="F7" s="10"/>
      <c r="G7" s="27"/>
    </row>
    <row r="8" customFormat="false" ht="61.5" hidden="false" customHeight="true" outlineLevel="0" collapsed="false">
      <c r="A8" s="65" t="s">
        <v>114</v>
      </c>
      <c r="B8" s="65"/>
      <c r="C8" s="65"/>
      <c r="D8" s="65"/>
      <c r="E8" s="65"/>
      <c r="F8" s="10" t="s">
        <v>33</v>
      </c>
      <c r="G8" s="101" t="s">
        <v>71</v>
      </c>
    </row>
    <row r="9" customFormat="false" ht="12.75" hidden="false" customHeight="false" outlineLevel="0" collapsed="false">
      <c r="A9" s="20"/>
      <c r="F9" s="10"/>
      <c r="G9" s="27"/>
    </row>
    <row r="10" customFormat="false" ht="48" hidden="false" customHeight="true" outlineLevel="0" collapsed="false">
      <c r="A10" s="65" t="s">
        <v>115</v>
      </c>
      <c r="B10" s="65"/>
      <c r="C10" s="65"/>
      <c r="D10" s="65"/>
      <c r="E10" s="65"/>
      <c r="F10" s="10" t="s">
        <v>33</v>
      </c>
      <c r="G10" s="78" t="s">
        <v>71</v>
      </c>
    </row>
    <row r="11" customFormat="false" ht="12.75" hidden="false" customHeight="true" outlineLevel="0" collapsed="false">
      <c r="A11" s="67"/>
      <c r="B11" s="67"/>
      <c r="C11" s="67"/>
      <c r="D11" s="67"/>
      <c r="E11" s="67"/>
      <c r="F11" s="10"/>
      <c r="G11" s="79"/>
    </row>
    <row r="12" customFormat="false" ht="23.25" hidden="false" customHeight="true" outlineLevel="0" collapsed="false">
      <c r="A12" s="65" t="s">
        <v>116</v>
      </c>
      <c r="B12" s="65"/>
      <c r="C12" s="65"/>
      <c r="D12" s="65"/>
      <c r="E12" s="65"/>
      <c r="F12" s="10" t="s">
        <v>33</v>
      </c>
      <c r="G12" s="102" t="n">
        <v>25</v>
      </c>
    </row>
    <row r="13" customFormat="false" ht="12.75" hidden="false" customHeight="true" outlineLevel="0" collapsed="false">
      <c r="A13" s="67"/>
      <c r="B13" s="67"/>
      <c r="C13" s="67"/>
      <c r="D13" s="67"/>
      <c r="E13" s="67"/>
      <c r="F13" s="10"/>
      <c r="G13" s="103"/>
    </row>
    <row r="14" customFormat="false" ht="24.75" hidden="false" customHeight="true" outlineLevel="0" collapsed="false">
      <c r="A14" s="65" t="s">
        <v>117</v>
      </c>
      <c r="B14" s="65"/>
      <c r="C14" s="65"/>
      <c r="D14" s="65"/>
      <c r="E14" s="65"/>
      <c r="F14" s="10" t="s">
        <v>33</v>
      </c>
      <c r="G14" s="102" t="n">
        <v>33</v>
      </c>
    </row>
    <row r="15" customFormat="false" ht="12.75" hidden="false" customHeight="true" outlineLevel="0" collapsed="false">
      <c r="A15" s="67"/>
      <c r="B15" s="67"/>
      <c r="C15" s="67"/>
      <c r="D15" s="67"/>
      <c r="E15" s="67"/>
      <c r="F15" s="10"/>
      <c r="G15" s="103"/>
    </row>
    <row r="16" customFormat="false" ht="86.25" hidden="false" customHeight="true" outlineLevel="0" collapsed="false">
      <c r="A16" s="65" t="s">
        <v>118</v>
      </c>
      <c r="B16" s="65"/>
      <c r="C16" s="65"/>
      <c r="D16" s="65"/>
      <c r="E16" s="65"/>
      <c r="F16" s="10" t="s">
        <v>33</v>
      </c>
      <c r="G16" s="104" t="s">
        <v>79</v>
      </c>
    </row>
    <row r="17" customFormat="false" ht="12.75" hidden="false" customHeight="true" outlineLevel="0" collapsed="false">
      <c r="A17" s="67"/>
      <c r="B17" s="67"/>
      <c r="C17" s="67"/>
      <c r="D17" s="67"/>
      <c r="E17" s="67"/>
      <c r="F17" s="10"/>
      <c r="G17" s="103"/>
    </row>
    <row r="18" customFormat="false" ht="102.75" hidden="false" customHeight="true" outlineLevel="0" collapsed="false">
      <c r="A18" s="65" t="s">
        <v>119</v>
      </c>
      <c r="B18" s="65"/>
      <c r="C18" s="65"/>
      <c r="D18" s="65"/>
      <c r="E18" s="65"/>
      <c r="F18" s="10" t="s">
        <v>33</v>
      </c>
      <c r="G18" s="102" t="n">
        <v>1000</v>
      </c>
    </row>
    <row r="19" customFormat="false" ht="12.75" hidden="false" customHeight="false" outlineLevel="0" collapsed="false">
      <c r="F19" s="10"/>
      <c r="G19" s="79"/>
    </row>
    <row r="20" customFormat="false" ht="12.75" hidden="false" customHeight="false" outlineLevel="0" collapsed="false">
      <c r="F20" s="10"/>
      <c r="G20" s="79"/>
    </row>
    <row r="21" customFormat="false" ht="12.75" hidden="false" customHeight="false" outlineLevel="0" collapsed="false">
      <c r="A21" s="21" t="s">
        <v>120</v>
      </c>
      <c r="H21" s="0" t="s">
        <v>121</v>
      </c>
    </row>
    <row r="22" customFormat="false" ht="24.75" hidden="false" customHeight="true" outlineLevel="0" collapsed="false">
      <c r="A22" s="65" t="s">
        <v>122</v>
      </c>
      <c r="B22" s="65"/>
      <c r="C22" s="65"/>
      <c r="D22" s="65"/>
      <c r="E22" s="65"/>
      <c r="F22" s="65"/>
      <c r="G22" s="65"/>
      <c r="H22" s="0" t="s">
        <v>123</v>
      </c>
    </row>
    <row r="23" customFormat="false" ht="36" hidden="false" customHeight="true" outlineLevel="0" collapsed="false">
      <c r="A23" s="105" t="s">
        <v>124</v>
      </c>
      <c r="B23" s="67"/>
      <c r="C23" s="50" t="s">
        <v>125</v>
      </c>
      <c r="D23" s="67"/>
      <c r="E23" s="49" t="s">
        <v>126</v>
      </c>
      <c r="F23" s="29"/>
      <c r="G23" s="50" t="s">
        <v>127</v>
      </c>
    </row>
    <row r="24" customFormat="false" ht="12.75" hidden="false" customHeight="true" outlineLevel="0" collapsed="false">
      <c r="A24" s="70" t="n">
        <v>1</v>
      </c>
      <c r="B24" s="10" t="s">
        <v>33</v>
      </c>
      <c r="C24" s="106" t="s">
        <v>128</v>
      </c>
      <c r="D24" s="10" t="s">
        <v>33</v>
      </c>
      <c r="E24" s="101" t="n">
        <v>112000</v>
      </c>
      <c r="F24" s="10" t="s">
        <v>33</v>
      </c>
      <c r="G24" s="100" t="n">
        <v>1070</v>
      </c>
      <c r="H24" s="93"/>
    </row>
    <row r="25" customFormat="false" ht="12.75" hidden="false" customHeight="true" outlineLevel="0" collapsed="false">
      <c r="A25" s="70" t="n">
        <v>2</v>
      </c>
      <c r="B25" s="10" t="s">
        <v>33</v>
      </c>
      <c r="C25" s="106" t="s">
        <v>129</v>
      </c>
      <c r="D25" s="10" t="s">
        <v>33</v>
      </c>
      <c r="E25" s="101" t="n">
        <v>112000</v>
      </c>
      <c r="F25" s="10" t="s">
        <v>33</v>
      </c>
      <c r="G25" s="100" t="n">
        <v>1060</v>
      </c>
      <c r="H25" s="93"/>
    </row>
    <row r="26" customFormat="false" ht="12.75" hidden="false" customHeight="true" outlineLevel="0" collapsed="false">
      <c r="A26" s="70" t="n">
        <v>3</v>
      </c>
      <c r="B26" s="10" t="s">
        <v>33</v>
      </c>
      <c r="C26" s="106" t="s">
        <v>130</v>
      </c>
      <c r="D26" s="10" t="s">
        <v>33</v>
      </c>
      <c r="E26" s="101" t="n">
        <v>112000</v>
      </c>
      <c r="F26" s="10" t="s">
        <v>33</v>
      </c>
      <c r="G26" s="100" t="n">
        <v>1078</v>
      </c>
      <c r="H26" s="93"/>
    </row>
    <row r="27" customFormat="false" ht="12.75" hidden="false" customHeight="true" outlineLevel="0" collapsed="false">
      <c r="A27" s="70" t="n">
        <v>4</v>
      </c>
      <c r="B27" s="10" t="s">
        <v>33</v>
      </c>
      <c r="C27" s="106" t="s">
        <v>131</v>
      </c>
      <c r="D27" s="10" t="s">
        <v>33</v>
      </c>
      <c r="E27" s="101" t="n">
        <v>116000</v>
      </c>
      <c r="F27" s="10" t="s">
        <v>33</v>
      </c>
      <c r="G27" s="100" t="n">
        <v>1066</v>
      </c>
      <c r="H27" s="93"/>
    </row>
    <row r="28" customFormat="false" ht="12.75" hidden="false" customHeight="true" outlineLevel="0" collapsed="false">
      <c r="A28" s="70" t="n">
        <v>5</v>
      </c>
      <c r="B28" s="10" t="s">
        <v>33</v>
      </c>
      <c r="C28" s="106" t="s">
        <v>132</v>
      </c>
      <c r="D28" s="10" t="s">
        <v>33</v>
      </c>
      <c r="E28" s="107" t="n">
        <v>116000</v>
      </c>
      <c r="F28" s="10" t="s">
        <v>33</v>
      </c>
      <c r="G28" s="100" t="n">
        <v>1034</v>
      </c>
      <c r="H28" s="93"/>
    </row>
    <row r="29" customFormat="false" ht="12.75" hidden="false" customHeight="true" outlineLevel="0" collapsed="false">
      <c r="A29" s="70" t="n">
        <v>6</v>
      </c>
      <c r="B29" s="10" t="s">
        <v>33</v>
      </c>
      <c r="C29" s="106" t="s">
        <v>133</v>
      </c>
      <c r="D29" s="10" t="s">
        <v>33</v>
      </c>
      <c r="E29" s="101" t="n">
        <v>114000</v>
      </c>
      <c r="F29" s="10" t="s">
        <v>33</v>
      </c>
      <c r="G29" s="100" t="n">
        <v>1045</v>
      </c>
      <c r="H29" s="93"/>
    </row>
    <row r="30" customFormat="false" ht="12.75" hidden="false" customHeight="true" outlineLevel="0" collapsed="false">
      <c r="A30" s="70" t="n">
        <v>7</v>
      </c>
      <c r="B30" s="10" t="s">
        <v>33</v>
      </c>
      <c r="C30" s="106" t="s">
        <v>134</v>
      </c>
      <c r="D30" s="10" t="s">
        <v>33</v>
      </c>
      <c r="E30" s="101" t="n">
        <v>113000</v>
      </c>
      <c r="F30" s="10" t="s">
        <v>33</v>
      </c>
      <c r="G30" s="100" t="n">
        <v>1077</v>
      </c>
      <c r="H30" s="93"/>
    </row>
    <row r="31" customFormat="false" ht="12.75" hidden="false" customHeight="true" outlineLevel="0" collapsed="false">
      <c r="A31" s="70" t="n">
        <v>8</v>
      </c>
      <c r="B31" s="10" t="s">
        <v>33</v>
      </c>
      <c r="C31" s="106" t="s">
        <v>135</v>
      </c>
      <c r="D31" s="10" t="s">
        <v>33</v>
      </c>
      <c r="E31" s="101" t="n">
        <v>112000</v>
      </c>
      <c r="F31" s="10" t="s">
        <v>33</v>
      </c>
      <c r="G31" s="100" t="n">
        <v>1070</v>
      </c>
      <c r="H31" s="93"/>
    </row>
    <row r="32" customFormat="false" ht="12.75" hidden="false" customHeight="true" outlineLevel="0" collapsed="false">
      <c r="A32" s="70" t="n">
        <v>9</v>
      </c>
      <c r="B32" s="10" t="s">
        <v>33</v>
      </c>
      <c r="C32" s="106" t="s">
        <v>136</v>
      </c>
      <c r="D32" s="10" t="s">
        <v>33</v>
      </c>
      <c r="E32" s="101"/>
      <c r="F32" s="10" t="s">
        <v>33</v>
      </c>
      <c r="G32" s="100"/>
      <c r="H32" s="93"/>
    </row>
    <row r="33" customFormat="false" ht="12.75" hidden="false" customHeight="false" outlineLevel="0" collapsed="false">
      <c r="A33" s="70" t="n">
        <v>10</v>
      </c>
      <c r="B33" s="10" t="s">
        <v>33</v>
      </c>
      <c r="C33" s="106" t="s">
        <v>137</v>
      </c>
      <c r="D33" s="10" t="s">
        <v>33</v>
      </c>
      <c r="E33" s="101"/>
      <c r="F33" s="10" t="s">
        <v>33</v>
      </c>
      <c r="G33" s="100"/>
      <c r="H33" s="93"/>
    </row>
    <row r="34" customFormat="false" ht="12.75" hidden="false" customHeight="false" outlineLevel="0" collapsed="false">
      <c r="A34" s="1"/>
      <c r="D34" s="10"/>
      <c r="E34" s="108"/>
      <c r="F34" s="9"/>
      <c r="G34" s="85"/>
      <c r="H34" s="109"/>
    </row>
    <row r="35" customFormat="false" ht="36.75" hidden="false" customHeight="true" outlineLevel="0" collapsed="false">
      <c r="A35" s="65" t="s">
        <v>138</v>
      </c>
      <c r="B35" s="65"/>
      <c r="C35" s="65"/>
      <c r="D35" s="65"/>
      <c r="E35" s="65"/>
      <c r="F35" s="22" t="s">
        <v>33</v>
      </c>
      <c r="G35" s="110" t="n">
        <v>119000</v>
      </c>
    </row>
    <row r="36" customFormat="false" ht="12.75" hidden="false" customHeight="false" outlineLevel="0" collapsed="false">
      <c r="A36" s="1"/>
      <c r="B36" s="20"/>
      <c r="F36" s="22"/>
    </row>
    <row r="37" customFormat="false" ht="24.75" hidden="false" customHeight="true" outlineLevel="0" collapsed="false">
      <c r="A37" s="65" t="s">
        <v>139</v>
      </c>
      <c r="B37" s="65"/>
      <c r="C37" s="65"/>
      <c r="D37" s="65"/>
      <c r="E37" s="65"/>
      <c r="F37" s="22" t="s">
        <v>33</v>
      </c>
      <c r="G37" s="100" t="n">
        <v>1070</v>
      </c>
    </row>
    <row r="38" customFormat="false" ht="12.75" hidden="false" customHeight="true" outlineLevel="0" collapsed="false">
      <c r="A38" s="1"/>
      <c r="B38" s="67"/>
      <c r="C38" s="67"/>
      <c r="D38" s="67"/>
      <c r="E38" s="67"/>
      <c r="F38" s="22"/>
    </row>
    <row r="39" customFormat="false" ht="61.5" hidden="false" customHeight="true" outlineLevel="0" collapsed="false">
      <c r="A39" s="65" t="s">
        <v>140</v>
      </c>
      <c r="B39" s="65"/>
      <c r="C39" s="65"/>
      <c r="D39" s="65"/>
      <c r="E39" s="65"/>
      <c r="F39" s="111"/>
    </row>
    <row r="40" customFormat="false" ht="32.25" hidden="false" customHeight="true" outlineLevel="0" collapsed="false">
      <c r="A40" s="1"/>
      <c r="B40" s="67"/>
      <c r="C40" s="50" t="s">
        <v>141</v>
      </c>
      <c r="D40" s="67"/>
      <c r="E40" s="50" t="s">
        <v>142</v>
      </c>
      <c r="F40" s="29"/>
      <c r="G40" s="50" t="s">
        <v>143</v>
      </c>
    </row>
    <row r="41" customFormat="false" ht="12.75" hidden="false" customHeight="false" outlineLevel="0" collapsed="false">
      <c r="B41" s="22" t="s">
        <v>33</v>
      </c>
      <c r="C41" s="112" t="n">
        <v>1000</v>
      </c>
      <c r="D41" s="22" t="s">
        <v>33</v>
      </c>
      <c r="E41" s="86" t="n">
        <v>1000</v>
      </c>
      <c r="F41" s="22" t="s">
        <v>33</v>
      </c>
      <c r="G41" s="92" t="n">
        <v>1000</v>
      </c>
    </row>
    <row r="42" customFormat="false" ht="12.75" hidden="false" customHeight="false" outlineLevel="0" collapsed="false">
      <c r="B42" s="22"/>
      <c r="C42" s="67"/>
      <c r="D42" s="22"/>
      <c r="E42" s="19"/>
      <c r="F42" s="22"/>
    </row>
    <row r="43" customFormat="false" ht="48.75" hidden="false" customHeight="true" outlineLevel="0" collapsed="false">
      <c r="A43" s="65" t="s">
        <v>144</v>
      </c>
      <c r="B43" s="65"/>
      <c r="C43" s="65"/>
      <c r="D43" s="65"/>
      <c r="E43" s="65"/>
      <c r="F43" s="65"/>
    </row>
    <row r="44" customFormat="false" ht="44.25" hidden="false" customHeight="true" outlineLevel="0" collapsed="false">
      <c r="B44" s="67"/>
      <c r="C44" s="50" t="s">
        <v>145</v>
      </c>
      <c r="D44" s="67"/>
      <c r="E44" s="50" t="s">
        <v>146</v>
      </c>
      <c r="F44" s="29"/>
      <c r="G44" s="50" t="s">
        <v>147</v>
      </c>
    </row>
    <row r="45" customFormat="false" ht="12.75" hidden="false" customHeight="false" outlineLevel="0" collapsed="false">
      <c r="B45" s="22" t="s">
        <v>33</v>
      </c>
      <c r="C45" s="112" t="n">
        <v>1000</v>
      </c>
      <c r="D45" s="22" t="s">
        <v>33</v>
      </c>
      <c r="E45" s="86" t="n">
        <v>1000</v>
      </c>
      <c r="F45" s="22" t="s">
        <v>33</v>
      </c>
      <c r="G45" s="92" t="n">
        <v>1000</v>
      </c>
    </row>
    <row r="47" customFormat="false" ht="12.75" hidden="false" customHeight="false" outlineLevel="0" collapsed="false">
      <c r="A47" s="21" t="s">
        <v>148</v>
      </c>
    </row>
    <row r="49" customFormat="false" ht="12.75" hidden="false" customHeight="false" outlineLevel="0" collapsed="false">
      <c r="A49" s="0" t="s">
        <v>149</v>
      </c>
      <c r="F49" s="22" t="s">
        <v>33</v>
      </c>
      <c r="G49" s="98" t="n">
        <v>0.43</v>
      </c>
    </row>
  </sheetData>
  <mergeCells count="11">
    <mergeCell ref="A8:E8"/>
    <mergeCell ref="A10:E10"/>
    <mergeCell ref="A12:E12"/>
    <mergeCell ref="A14:E14"/>
    <mergeCell ref="A16:E16"/>
    <mergeCell ref="A18:E18"/>
    <mergeCell ref="A22:G22"/>
    <mergeCell ref="A35:E35"/>
    <mergeCell ref="A37:E37"/>
    <mergeCell ref="A39:E39"/>
    <mergeCell ref="A43:F43"/>
  </mergeCells>
  <printOptions headings="false" gridLines="false" gridLinesSet="true" horizontalCentered="false" verticalCentered="false"/>
  <pageMargins left="0.747916666666667" right="0.747916666666667" top="0.984027777777778" bottom="0.984027777777778" header="0.5" footer="0.5"/>
  <pageSetup paperSize="1" scale="85" fitToWidth="1" fitToHeight="1" pageOrder="downThenOver" orientation="portrait" blackAndWhite="false" draft="false" cellComments="none" horizontalDpi="300" verticalDpi="300" copies="1"/>
  <headerFooter differentFirst="false" differentOddEven="false">
    <oddHeader>&amp;LEcoElectrica LP
LNG Sales Contract
Article 8 - Price
End of Year Input</oddHeader>
    <oddFooter>&amp;LLNG Sales Contract
&amp;D
&amp;T&amp;CEnd of Year Input&amp;R&amp;P of &amp;N</oddFooter>
  </headerFooter>
  <rowBreaks count="1" manualBreakCount="1">
    <brk id="18" man="true" max="16383" min="0"/>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3:L2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6" activeCellId="0" sqref="F6"/>
    </sheetView>
  </sheetViews>
  <sheetFormatPr defaultColWidth="9.0546875" defaultRowHeight="12.75" customHeight="true" zeroHeight="false" outlineLevelRow="0" outlineLevelCol="0"/>
  <cols>
    <col collapsed="false" customWidth="true" hidden="false" outlineLevel="0" max="1" min="1" style="0" width="10.71"/>
    <col collapsed="false" customWidth="true" hidden="false" outlineLevel="0" max="2" min="2" style="0" width="15.7"/>
    <col collapsed="false" customWidth="true" hidden="false" outlineLevel="0" max="3" min="3" style="0" width="4.41"/>
    <col collapsed="false" customWidth="true" hidden="false" outlineLevel="0" max="4" min="4" style="0" width="15.7"/>
    <col collapsed="false" customWidth="true" hidden="false" outlineLevel="0" max="5" min="5" style="0" width="4.41"/>
    <col collapsed="false" customWidth="true" hidden="false" outlineLevel="0" max="6" min="6" style="0" width="19.41"/>
    <col collapsed="false" customWidth="true" hidden="false" outlineLevel="0" max="7" min="7" style="0" width="4.41"/>
    <col collapsed="false" customWidth="true" hidden="false" outlineLevel="0" max="8" min="8" style="0" width="11.13"/>
    <col collapsed="false" customWidth="true" hidden="false" outlineLevel="0" max="9" min="9" style="0" width="6.99"/>
    <col collapsed="false" customWidth="true" hidden="false" outlineLevel="0" max="10" min="10" style="0" width="15.28"/>
    <col collapsed="false" customWidth="true" hidden="false" outlineLevel="0" max="11" min="11" style="0" width="4.14"/>
    <col collapsed="false" customWidth="true" hidden="false" outlineLevel="0" max="12" min="12" style="0" width="19.85"/>
  </cols>
  <sheetData>
    <row r="3" customFormat="false" ht="25.5" hidden="false" customHeight="true" outlineLevel="0" collapsed="false">
      <c r="A3" s="65" t="s">
        <v>150</v>
      </c>
      <c r="B3" s="65"/>
      <c r="C3" s="65"/>
      <c r="D3" s="65"/>
      <c r="E3" s="65"/>
      <c r="F3" s="65"/>
      <c r="G3" s="65"/>
      <c r="H3" s="65"/>
      <c r="I3" s="65"/>
      <c r="J3" s="65"/>
      <c r="K3" s="65"/>
      <c r="L3" s="65"/>
    </row>
    <row r="5" customFormat="false" ht="22.5" hidden="false" customHeight="false" outlineLevel="0" collapsed="false">
      <c r="B5" s="113" t="s">
        <v>151</v>
      </c>
      <c r="C5" s="114" t="s">
        <v>152</v>
      </c>
      <c r="D5" s="113" t="s">
        <v>153</v>
      </c>
      <c r="E5" s="114" t="s">
        <v>69</v>
      </c>
      <c r="F5" s="50" t="s">
        <v>154</v>
      </c>
    </row>
    <row r="6" customFormat="false" ht="30.75" hidden="false" customHeight="true" outlineLevel="0" collapsed="false">
      <c r="B6" s="115" t="n">
        <f aca="false">IF(AND(L11="Excused from Month's Payment"),"Excused from Month's Payment",L11)</f>
        <v>1724465.64353102</v>
      </c>
      <c r="C6" s="79"/>
      <c r="D6" s="115" t="n">
        <f aca="false">IF(AND(L16="Excused from Month's Payment"),"Excused from Month's Payment",L16)</f>
        <v>190294.915001521</v>
      </c>
      <c r="E6" s="79"/>
      <c r="F6" s="115" t="n">
        <f aca="false">IF(AND(L16="Excused from Month's Payment",L11="Excused from Month's Payment"),"0",B6+D6)</f>
        <v>1914760.55853254</v>
      </c>
    </row>
    <row r="7" customFormat="false" ht="12.75" hidden="false" customHeight="false" outlineLevel="0" collapsed="false">
      <c r="B7" s="116"/>
      <c r="C7" s="79"/>
      <c r="D7" s="116"/>
      <c r="E7" s="79"/>
      <c r="F7" s="116"/>
    </row>
    <row r="8" customFormat="false" ht="12.75" hidden="false" customHeight="true" outlineLevel="0" collapsed="false">
      <c r="A8" s="65" t="s">
        <v>155</v>
      </c>
      <c r="B8" s="65"/>
      <c r="C8" s="65"/>
      <c r="D8" s="65"/>
      <c r="E8" s="65"/>
      <c r="F8" s="65"/>
      <c r="G8" s="65"/>
      <c r="H8" s="65"/>
      <c r="I8" s="65"/>
      <c r="J8" s="65"/>
      <c r="K8" s="65"/>
      <c r="L8" s="65"/>
    </row>
    <row r="9" customFormat="false" ht="13.5" hidden="false" customHeight="true" outlineLevel="0" collapsed="false">
      <c r="B9" s="50" t="s">
        <v>156</v>
      </c>
      <c r="C9" s="50"/>
      <c r="D9" s="50"/>
    </row>
    <row r="10" customFormat="false" ht="23.25" hidden="false" customHeight="true" outlineLevel="0" collapsed="false">
      <c r="B10" s="117" t="s">
        <v>157</v>
      </c>
      <c r="C10" s="118" t="s">
        <v>158</v>
      </c>
      <c r="D10" s="50" t="s">
        <v>22</v>
      </c>
      <c r="E10" s="118" t="s">
        <v>158</v>
      </c>
      <c r="F10" s="119" t="s">
        <v>159</v>
      </c>
      <c r="G10" s="118" t="s">
        <v>158</v>
      </c>
      <c r="H10" s="50" t="s">
        <v>160</v>
      </c>
      <c r="I10" s="105" t="s">
        <v>161</v>
      </c>
      <c r="J10" s="50" t="s">
        <v>162</v>
      </c>
      <c r="L10" s="120" t="s">
        <v>151</v>
      </c>
    </row>
    <row r="11" customFormat="false" ht="25.5" hidden="false" customHeight="true" outlineLevel="0" collapsed="false">
      <c r="B11" s="121" t="n">
        <v>0.73</v>
      </c>
      <c r="C11" s="79"/>
      <c r="D11" s="122" t="n">
        <f aca="false">'Adjustment Factor'!L9</f>
        <v>1.1588503649635</v>
      </c>
      <c r="E11" s="79"/>
      <c r="F11" s="93" t="n">
        <f aca="false">'Beginning of Year Input'!G5*'Beginning of Year Input'!G8</f>
        <v>1071000</v>
      </c>
      <c r="G11" s="79"/>
      <c r="H11" s="123" t="n">
        <v>22.84</v>
      </c>
      <c r="I11" s="79"/>
      <c r="J11" s="79" t="n">
        <v>12</v>
      </c>
      <c r="L11" s="124" t="n">
        <f aca="false">IF(OR('Monthly Input'!$J$10="Y",'Monthly Input'!$J$12="Y"),"Excused from Month's Payment",(B11*D11*F11*H11/J11))</f>
        <v>1724465.64353102</v>
      </c>
    </row>
    <row r="13" customFormat="false" ht="12.75" hidden="false" customHeight="true" outlineLevel="0" collapsed="false">
      <c r="A13" s="65" t="s">
        <v>163</v>
      </c>
      <c r="B13" s="65"/>
      <c r="C13" s="65"/>
      <c r="D13" s="65"/>
      <c r="E13" s="65"/>
      <c r="F13" s="65"/>
      <c r="G13" s="65"/>
      <c r="H13" s="65"/>
      <c r="I13" s="65"/>
      <c r="J13" s="65"/>
      <c r="K13" s="65"/>
      <c r="L13" s="65"/>
    </row>
    <row r="14" customFormat="false" ht="12.75" hidden="false" customHeight="true" outlineLevel="0" collapsed="false">
      <c r="B14" s="50" t="s">
        <v>164</v>
      </c>
      <c r="C14" s="50"/>
      <c r="D14" s="50"/>
    </row>
    <row r="15" customFormat="false" ht="25.5" hidden="false" customHeight="true" outlineLevel="0" collapsed="false">
      <c r="B15" s="50" t="s">
        <v>165</v>
      </c>
      <c r="C15" s="118" t="s">
        <v>158</v>
      </c>
      <c r="D15" s="50" t="s">
        <v>22</v>
      </c>
      <c r="E15" s="118" t="s">
        <v>158</v>
      </c>
      <c r="F15" s="119" t="s">
        <v>166</v>
      </c>
      <c r="G15" s="118" t="s">
        <v>158</v>
      </c>
      <c r="H15" s="50" t="s">
        <v>160</v>
      </c>
      <c r="I15" s="105" t="s">
        <v>161</v>
      </c>
      <c r="J15" s="50" t="s">
        <v>162</v>
      </c>
      <c r="K15" s="114" t="s">
        <v>69</v>
      </c>
      <c r="L15" s="113" t="s">
        <v>153</v>
      </c>
    </row>
    <row r="16" customFormat="false" ht="25.5" hidden="false" customHeight="true" outlineLevel="0" collapsed="false">
      <c r="B16" s="125" t="n">
        <v>0.725</v>
      </c>
      <c r="C16" s="79"/>
      <c r="D16" s="122" t="n">
        <f aca="false">'Adjustment Factor'!L9</f>
        <v>1.1588503649635</v>
      </c>
      <c r="E16" s="79"/>
      <c r="F16" s="95" t="n">
        <f aca="false">'Beginning of Year Input'!G8</f>
        <v>119000</v>
      </c>
      <c r="G16" s="79"/>
      <c r="H16" s="123" t="n">
        <v>22.84</v>
      </c>
      <c r="I16" s="79"/>
      <c r="J16" s="79" t="n">
        <v>12</v>
      </c>
      <c r="K16" s="79"/>
      <c r="L16" s="115" t="n">
        <f aca="false">IF(OR('Monthly Input'!$J$10="Y",'Monthly Input'!$J$12="Y"),"Excused from Month's Payment",(B16*D16*F16*H16)/J16)</f>
        <v>190294.915001521</v>
      </c>
    </row>
    <row r="18" customFormat="false" ht="12.75" hidden="false" customHeight="false" outlineLevel="0" collapsed="false">
      <c r="A18" s="21" t="s">
        <v>167</v>
      </c>
    </row>
    <row r="20" customFormat="false" ht="22.5" hidden="false" customHeight="false" outlineLevel="0" collapsed="false">
      <c r="A20" s="126" t="s">
        <v>168</v>
      </c>
      <c r="B20" s="127" t="s">
        <v>169</v>
      </c>
    </row>
    <row r="22" customFormat="false" ht="36" hidden="false" customHeight="true" outlineLevel="0" collapsed="false">
      <c r="A22" s="128" t="s">
        <v>170</v>
      </c>
      <c r="B22" s="28" t="s">
        <v>171</v>
      </c>
      <c r="C22" s="28"/>
      <c r="D22" s="28"/>
      <c r="E22" s="28"/>
      <c r="F22" s="28"/>
      <c r="G22" s="28"/>
      <c r="H22" s="28"/>
      <c r="I22" s="28"/>
      <c r="J22" s="28"/>
      <c r="K22" s="28"/>
      <c r="L22" s="28"/>
    </row>
    <row r="24" customFormat="false" ht="63" hidden="false" customHeight="true" outlineLevel="0" collapsed="false">
      <c r="A24" s="28" t="s">
        <v>172</v>
      </c>
      <c r="B24" s="28"/>
      <c r="C24" s="28"/>
      <c r="D24" s="28"/>
      <c r="E24" s="28"/>
      <c r="F24" s="28"/>
      <c r="G24" s="28"/>
      <c r="H24" s="28"/>
      <c r="I24" s="28"/>
      <c r="J24" s="28"/>
      <c r="K24" s="28"/>
      <c r="L24" s="28"/>
    </row>
  </sheetData>
  <mergeCells count="7">
    <mergeCell ref="A3:L3"/>
    <mergeCell ref="A8:L8"/>
    <mergeCell ref="B9:D9"/>
    <mergeCell ref="A13:L13"/>
    <mergeCell ref="B14:D14"/>
    <mergeCell ref="B22:L22"/>
    <mergeCell ref="A24:L24"/>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1" pageOrder="downThenOver" orientation="landscape" blackAndWhite="false" draft="false" cellComments="none" horizontalDpi="300" verticalDpi="300" copies="1"/>
  <headerFooter differentFirst="false" differentOddEven="false">
    <oddHeader>&amp;LEcoElectrica, LP
LNG Sales Contract
Article 8 - Price
8.1 Estimate Monthly Demand Charge</oddHeader>
    <oddFooter>&amp;LLNG Sales Contract
&amp;D
&amp;T&amp;CEstimated Monthly Demand Charge &amp;R&amp;P of &amp;N</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17"/>
  <sheetViews>
    <sheetView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I10" activeCellId="0" sqref="I10"/>
    </sheetView>
  </sheetViews>
  <sheetFormatPr defaultColWidth="9.0546875" defaultRowHeight="12.75" customHeight="true" zeroHeight="false" outlineLevelRow="0" outlineLevelCol="0"/>
  <cols>
    <col collapsed="false" customWidth="true" hidden="false" outlineLevel="0" max="1" min="1" style="0" width="5.99"/>
    <col collapsed="false" customWidth="true" hidden="false" outlineLevel="0" max="2" min="2" style="0" width="5.41"/>
    <col collapsed="false" customWidth="true" hidden="false" outlineLevel="0" max="3" min="3" style="0" width="3.7"/>
    <col collapsed="false" customWidth="true" hidden="false" outlineLevel="0" max="4" min="4" style="0" width="6.99"/>
    <col collapsed="false" customWidth="true" hidden="false" outlineLevel="0" max="5" min="5" style="0" width="3.7"/>
    <col collapsed="false" customWidth="true" hidden="false" outlineLevel="0" max="6" min="6" style="0" width="10.99"/>
    <col collapsed="false" customWidth="true" hidden="false" outlineLevel="0" max="7" min="7" style="0" width="3.7"/>
    <col collapsed="false" customWidth="true" hidden="false" outlineLevel="0" max="11" min="9" style="0" width="3.7"/>
    <col collapsed="false" customWidth="true" hidden="false" outlineLevel="0" max="12" min="12" style="0" width="11.56"/>
  </cols>
  <sheetData>
    <row r="1" customFormat="false" ht="12.75" hidden="false" customHeight="false" outlineLevel="0" collapsed="false">
      <c r="A1" s="21" t="s">
        <v>173</v>
      </c>
    </row>
    <row r="2" customFormat="false" ht="12.75" hidden="false" customHeight="false" outlineLevel="0" collapsed="false">
      <c r="A2" s="21" t="s">
        <v>174</v>
      </c>
    </row>
    <row r="3" customFormat="false" ht="12.75" hidden="false" customHeight="false" outlineLevel="0" collapsed="false">
      <c r="A3" s="21" t="s">
        <v>2</v>
      </c>
    </row>
    <row r="4" customFormat="false" ht="12.75" hidden="false" customHeight="false" outlineLevel="0" collapsed="false">
      <c r="A4" s="21" t="s">
        <v>175</v>
      </c>
    </row>
    <row r="6" customFormat="false" ht="12.75" hidden="false" customHeight="false" outlineLevel="0" collapsed="false">
      <c r="A6" s="20" t="s">
        <v>176</v>
      </c>
    </row>
    <row r="8" customFormat="false" ht="25.5" hidden="false" customHeight="true" outlineLevel="0" collapsed="false">
      <c r="B8" s="113" t="n">
        <v>1</v>
      </c>
      <c r="C8" s="114" t="s">
        <v>152</v>
      </c>
      <c r="D8" s="113" t="n">
        <v>0.5</v>
      </c>
      <c r="E8" s="114" t="s">
        <v>177</v>
      </c>
      <c r="F8" s="113" t="s">
        <v>178</v>
      </c>
      <c r="G8" s="113" t="s">
        <v>179</v>
      </c>
      <c r="H8" s="113" t="s">
        <v>180</v>
      </c>
      <c r="I8" s="113" t="s">
        <v>181</v>
      </c>
      <c r="J8" s="113" t="s">
        <v>182</v>
      </c>
      <c r="K8" s="114" t="s">
        <v>69</v>
      </c>
      <c r="L8" s="120" t="s">
        <v>22</v>
      </c>
    </row>
    <row r="9" customFormat="false" ht="12.75" hidden="false" customHeight="false" outlineLevel="0" collapsed="false">
      <c r="B9" s="79" t="n">
        <v>1</v>
      </c>
      <c r="D9" s="79" t="n">
        <v>0.5</v>
      </c>
      <c r="F9" s="129" t="n">
        <f aca="false">'Beginning of Year Input'!E32</f>
        <v>180.525</v>
      </c>
      <c r="H9" s="130" t="n">
        <v>137</v>
      </c>
      <c r="J9" s="79" t="n">
        <v>1</v>
      </c>
      <c r="L9" s="131" t="n">
        <f aca="false">B9+(D9*((F9/H9)-1))</f>
        <v>1.1588503649635</v>
      </c>
    </row>
    <row r="11" customFormat="false" ht="12.75" hidden="false" customHeight="false" outlineLevel="0" collapsed="false">
      <c r="A11" s="21" t="s">
        <v>167</v>
      </c>
    </row>
    <row r="12" customFormat="false" ht="12.75" hidden="false" customHeight="false" outlineLevel="0" collapsed="false">
      <c r="A12" s="1"/>
    </row>
    <row r="13" customFormat="false" ht="24.75" hidden="false" customHeight="true" outlineLevel="0" collapsed="false">
      <c r="A13" s="1"/>
      <c r="B13" s="132" t="s">
        <v>183</v>
      </c>
      <c r="C13" s="132"/>
      <c r="D13" s="132"/>
      <c r="E13" s="132"/>
      <c r="F13" s="132"/>
      <c r="G13" s="132"/>
      <c r="H13" s="132"/>
      <c r="I13" s="132"/>
      <c r="J13" s="132"/>
      <c r="K13" s="132"/>
      <c r="L13" s="132"/>
    </row>
    <row r="15" customFormat="false" ht="12.75" hidden="false" customHeight="false" outlineLevel="0" collapsed="false">
      <c r="B15" s="21" t="s">
        <v>184</v>
      </c>
    </row>
    <row r="17" customFormat="false" ht="12.75" hidden="false" customHeight="false" outlineLevel="0" collapsed="false">
      <c r="B17" s="21" t="s">
        <v>185</v>
      </c>
    </row>
  </sheetData>
  <mergeCells count="1">
    <mergeCell ref="B13:L13"/>
  </mergeCells>
  <printOptions headings="false" gridLines="false" gridLinesSet="true" horizontalCentered="false" verticalCentered="false"/>
  <pageMargins left="1.25" right="1.25" top="0.984027777777778" bottom="1.05972222222222" header="0.511811023622047" footer="0.5"/>
  <pageSetup paperSize="1" scale="100" fitToWidth="1" fitToHeight="1" pageOrder="downThenOver" orientation="portrait" blackAndWhite="false" draft="false" cellComments="none" horizontalDpi="300" verticalDpi="300" copies="1"/>
  <headerFooter differentFirst="false" differentOddEven="false">
    <oddHeader/>
    <oddFooter>&amp;LLNG Sales Contract
&amp;D
&amp;T&amp;CAdjustment Factor&amp;R&amp;P of &amp;N</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N32"/>
  <sheetViews>
    <sheetView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D22" activeCellId="0" sqref="D22"/>
    </sheetView>
  </sheetViews>
  <sheetFormatPr defaultColWidth="9.0546875" defaultRowHeight="12.75" customHeight="true" zeroHeight="false" outlineLevelRow="0" outlineLevelCol="0"/>
  <cols>
    <col collapsed="false" customWidth="true" hidden="false" outlineLevel="0" max="1" min="1" style="0" width="4.7"/>
    <col collapsed="false" customWidth="true" hidden="false" outlineLevel="0" max="2" min="2" style="0" width="17.99"/>
    <col collapsed="false" customWidth="true" hidden="false" outlineLevel="0" max="3" min="3" style="0" width="4.7"/>
    <col collapsed="false" customWidth="true" hidden="false" outlineLevel="0" max="4" min="4" style="0" width="19.99"/>
    <col collapsed="false" customWidth="true" hidden="false" outlineLevel="0" max="5" min="5" style="0" width="6.41"/>
    <col collapsed="false" customWidth="true" hidden="false" outlineLevel="0" max="6" min="6" style="0" width="15.7"/>
    <col collapsed="false" customWidth="true" hidden="false" outlineLevel="0" max="7" min="7" style="0" width="5.85"/>
    <col collapsed="false" customWidth="true" hidden="false" outlineLevel="0" max="8" min="8" style="0" width="13.85"/>
    <col collapsed="false" customWidth="true" hidden="false" outlineLevel="0" max="9" min="9" style="0" width="5.71"/>
    <col collapsed="false" customWidth="true" hidden="false" outlineLevel="0" max="10" min="10" style="0" width="16.28"/>
    <col collapsed="false" customWidth="true" hidden="false" outlineLevel="0" max="12" min="11" style="0" width="4.7"/>
    <col collapsed="false" customWidth="true" hidden="false" outlineLevel="0" max="13" min="13" style="0" width="13.99"/>
  </cols>
  <sheetData>
    <row r="1" customFormat="false" ht="12.75" hidden="false" customHeight="false" outlineLevel="0" collapsed="false">
      <c r="A1" s="1"/>
    </row>
    <row r="2" customFormat="false" ht="12.75" hidden="false" customHeight="false" outlineLevel="0" collapsed="false">
      <c r="A2" s="1"/>
    </row>
    <row r="3" customFormat="false" ht="12.75" hidden="false" customHeight="false" outlineLevel="0" collapsed="false">
      <c r="A3" s="1"/>
    </row>
    <row r="4" customFormat="false" ht="12.75" hidden="false" customHeight="false" outlineLevel="0" collapsed="false">
      <c r="A4" s="1"/>
    </row>
    <row r="5" customFormat="false" ht="12.75" hidden="false" customHeight="false" outlineLevel="0" collapsed="false">
      <c r="A5" s="21"/>
    </row>
    <row r="6" customFormat="false" ht="33.75" hidden="false" customHeight="false" outlineLevel="0" collapsed="false">
      <c r="A6" s="21"/>
      <c r="B6" s="119" t="s">
        <v>186</v>
      </c>
      <c r="C6" s="133" t="s">
        <v>187</v>
      </c>
      <c r="D6" s="50" t="s">
        <v>188</v>
      </c>
      <c r="E6" s="134" t="s">
        <v>189</v>
      </c>
      <c r="F6" s="50" t="s">
        <v>190</v>
      </c>
    </row>
    <row r="7" customFormat="false" ht="12.75" hidden="false" customHeight="false" outlineLevel="0" collapsed="false">
      <c r="A7" s="21"/>
      <c r="B7" s="135" t="n">
        <f aca="false">'1st Cargo Input'!J96</f>
        <v>2756332</v>
      </c>
      <c r="D7" s="136" t="n">
        <f aca="false">J10</f>
        <v>3.48309962287105</v>
      </c>
      <c r="F7" s="12" t="n">
        <f aca="false">B7*D7</f>
        <v>9600578.9497074</v>
      </c>
    </row>
    <row r="8" customFormat="false" ht="12.75" hidden="false" customHeight="false" outlineLevel="0" collapsed="false">
      <c r="A8" s="21"/>
    </row>
    <row r="9" customFormat="false" ht="38.25" hidden="false" customHeight="true" outlineLevel="0" collapsed="false">
      <c r="A9" s="21"/>
      <c r="B9" s="50" t="s">
        <v>191</v>
      </c>
      <c r="C9" s="137" t="s">
        <v>152</v>
      </c>
      <c r="D9" s="50" t="s">
        <v>192</v>
      </c>
      <c r="E9" s="134" t="s">
        <v>189</v>
      </c>
      <c r="F9" s="50" t="s">
        <v>193</v>
      </c>
      <c r="G9" s="138" t="s">
        <v>194</v>
      </c>
      <c r="H9" s="50" t="s">
        <v>195</v>
      </c>
      <c r="I9" s="0" t="s">
        <v>69</v>
      </c>
      <c r="J9" s="50" t="s">
        <v>188</v>
      </c>
    </row>
    <row r="10" customFormat="false" ht="12.75" hidden="false" customHeight="false" outlineLevel="0" collapsed="false">
      <c r="A10" s="21"/>
      <c r="B10" s="139" t="n">
        <f aca="false">F18</f>
        <v>3.48309962287105</v>
      </c>
      <c r="C10" s="140"/>
      <c r="D10" s="139" t="n">
        <f aca="false">F31</f>
        <v>0</v>
      </c>
      <c r="E10" s="141"/>
      <c r="F10" s="136" t="n">
        <f aca="false">(B10+D10)</f>
        <v>3.48309962287105</v>
      </c>
      <c r="G10" s="142"/>
      <c r="H10" s="136" t="n">
        <f aca="false">IF(AND(M13&gt;=F10),F10,M13)</f>
        <v>0</v>
      </c>
      <c r="I10" s="143"/>
      <c r="J10" s="136" t="n">
        <f aca="false">F10-H10</f>
        <v>3.48309962287105</v>
      </c>
    </row>
    <row r="11" customFormat="false" ht="12.75" hidden="false" customHeight="false" outlineLevel="0" collapsed="false">
      <c r="A11" s="21"/>
      <c r="B11" s="144"/>
      <c r="C11" s="137"/>
      <c r="D11" s="144"/>
      <c r="E11" s="134"/>
    </row>
    <row r="12" customFormat="false" ht="33.75" hidden="false" customHeight="false" outlineLevel="0" collapsed="false">
      <c r="A12" s="145" t="s">
        <v>196</v>
      </c>
      <c r="B12" s="50" t="s">
        <v>197</v>
      </c>
      <c r="C12" s="146" t="s">
        <v>152</v>
      </c>
      <c r="D12" s="50" t="s">
        <v>198</v>
      </c>
      <c r="E12" s="79" t="s">
        <v>152</v>
      </c>
      <c r="F12" s="147" t="s">
        <v>199</v>
      </c>
      <c r="G12" s="79" t="s">
        <v>152</v>
      </c>
      <c r="H12" s="50" t="s">
        <v>200</v>
      </c>
      <c r="I12" s="148" t="s">
        <v>201</v>
      </c>
      <c r="J12" s="50" t="s">
        <v>202</v>
      </c>
      <c r="K12" s="149" t="s">
        <v>203</v>
      </c>
      <c r="L12" s="114" t="s">
        <v>69</v>
      </c>
      <c r="M12" s="50" t="s">
        <v>204</v>
      </c>
    </row>
    <row r="13" customFormat="false" ht="12.75" hidden="false" customHeight="false" outlineLevel="0" collapsed="false">
      <c r="A13" s="21"/>
      <c r="B13" s="150" t="n">
        <f aca="false">IF(AND('1st Cargo Input'!J104="Y"),"0",IF(('1st Cargo Input'!J108&lt;2800000),(0.02)*('Propane Index'!I30)*2800000/'1st Cargo Input'!J108,IF(('1st Cargo Input'!J108&gt;2800000),(0.02)*('Propane Index'!I30))))</f>
        <v>0.00175</v>
      </c>
      <c r="C13" s="133"/>
      <c r="D13" s="150" t="n">
        <f aca="false">IF(AND('1st Cargo Input'!J106="Y"),"0",IF(('1st Cargo Input'!J108&lt;2800000),(0.03)*('Propane Index'!K60)*2800000/'1st Cargo Input'!J108,IF(('1st Cargo Input'!J108&gt;2800000),(0.03)*('Propane Index'!K60))))</f>
        <v>0.002953125</v>
      </c>
      <c r="F13" s="151" t="n">
        <f aca="false">IF(AND('1st Cargo Input'!J92/'1st Cargo Input'!J94&lt;0.95,'1st Cargo Input'!J112&lt;2800000),('1st Cargo Input'!J94-'1st Cargo Input'!J92)/('Beginning of Year Input'!G5*'Beginning of Year Input'!G8)*(365)*(0.03)*('Propane Index'!K60)*(2800000/'1st Cargo Input'!J112),IF(AND('1st Cargo Input'!J92/'1st Cargo Input'!J94&lt;0.95,'1st Cargo Input'!J112&gt;2800000),('1st Cargo Input'!J94-'1st Cargo Input'!J92)/('Beginning of Year Input'!G5*'Beginning of Year Input'!G8)*(365)*(0.03)*'Propane Index'!K60,(0)))</f>
        <v>0.00496028098739496</v>
      </c>
      <c r="H13" s="152" t="n">
        <f aca="false">'1st Cargo Input'!J120-'1st Cargo Input'!J122</f>
        <v>0</v>
      </c>
      <c r="I13" s="1"/>
      <c r="J13" s="152" t="n">
        <f aca="false">('1st Cargo Input'!J124)*0.03</f>
        <v>0.003</v>
      </c>
      <c r="L13" s="153"/>
      <c r="M13" s="152" t="n">
        <f aca="false">(B13+D13+F13+H13-J13)*0</f>
        <v>0</v>
      </c>
    </row>
    <row r="15" customFormat="false" ht="12.75" hidden="false" customHeight="false" outlineLevel="0" collapsed="false">
      <c r="M15" s="136"/>
    </row>
    <row r="16" customFormat="false" ht="25.5" hidden="false" customHeight="true" outlineLevel="0" collapsed="false">
      <c r="A16" s="132" t="s">
        <v>205</v>
      </c>
      <c r="B16" s="132"/>
      <c r="C16" s="132"/>
      <c r="D16" s="132"/>
      <c r="E16" s="132"/>
      <c r="F16" s="132"/>
      <c r="G16" s="132"/>
      <c r="H16" s="132"/>
      <c r="I16" s="132"/>
      <c r="J16" s="132"/>
      <c r="K16" s="154"/>
      <c r="L16" s="154"/>
      <c r="M16" s="154"/>
      <c r="N16" s="154"/>
    </row>
    <row r="17" customFormat="false" ht="21.75" hidden="false" customHeight="true" outlineLevel="0" collapsed="false">
      <c r="A17" s="155"/>
      <c r="B17" s="156" t="s">
        <v>151</v>
      </c>
      <c r="C17" s="137" t="s">
        <v>152</v>
      </c>
      <c r="D17" s="156" t="s">
        <v>153</v>
      </c>
      <c r="E17" s="134" t="s">
        <v>189</v>
      </c>
      <c r="F17" s="50" t="s">
        <v>191</v>
      </c>
      <c r="G17" s="118"/>
      <c r="H17" s="144"/>
      <c r="I17" s="144"/>
      <c r="J17" s="144"/>
      <c r="K17" s="137"/>
      <c r="L17" s="157"/>
      <c r="M17" s="158"/>
      <c r="N17" s="159"/>
    </row>
    <row r="18" customFormat="false" ht="12" hidden="false" customHeight="true" outlineLevel="0" collapsed="false">
      <c r="A18" s="155"/>
      <c r="B18" s="160" t="n">
        <f aca="false">F22</f>
        <v>2.65953666666667</v>
      </c>
      <c r="C18" s="140"/>
      <c r="D18" s="161" t="n">
        <f aca="false">H26</f>
        <v>0.82356295620438</v>
      </c>
      <c r="E18" s="141"/>
      <c r="F18" s="160" t="n">
        <f aca="false">B18+D18</f>
        <v>3.48309962287105</v>
      </c>
      <c r="G18" s="1"/>
      <c r="H18" s="79"/>
      <c r="I18" s="144"/>
      <c r="J18" s="162"/>
      <c r="K18" s="159"/>
      <c r="L18" s="159"/>
      <c r="M18" s="163"/>
      <c r="N18" s="159"/>
    </row>
    <row r="19" customFormat="false" ht="12" hidden="false" customHeight="true" outlineLevel="0" collapsed="false">
      <c r="A19" s="155"/>
      <c r="B19" s="93"/>
      <c r="D19" s="164"/>
      <c r="E19" s="159"/>
      <c r="F19" s="164"/>
      <c r="G19" s="159"/>
      <c r="H19" s="162"/>
      <c r="I19" s="165"/>
      <c r="J19" s="165"/>
      <c r="K19" s="159"/>
      <c r="L19" s="159"/>
      <c r="M19" s="163"/>
      <c r="N19" s="159"/>
    </row>
    <row r="20" customFormat="false" ht="46.5" hidden="false" customHeight="true" outlineLevel="0" collapsed="false">
      <c r="A20" s="132" t="s">
        <v>206</v>
      </c>
      <c r="B20" s="132"/>
      <c r="C20" s="132"/>
      <c r="D20" s="132"/>
      <c r="E20" s="132"/>
      <c r="F20" s="132"/>
      <c r="G20" s="132"/>
      <c r="H20" s="132"/>
      <c r="I20" s="132"/>
      <c r="J20" s="132"/>
      <c r="K20" s="166"/>
      <c r="L20" s="166"/>
      <c r="M20" s="166"/>
      <c r="N20" s="166"/>
    </row>
    <row r="21" customFormat="false" ht="50.25" hidden="false" customHeight="true" outlineLevel="0" collapsed="false">
      <c r="B21" s="167" t="s">
        <v>207</v>
      </c>
      <c r="C21" s="114" t="s">
        <v>177</v>
      </c>
      <c r="D21" s="50" t="s">
        <v>208</v>
      </c>
      <c r="E21" s="114" t="s">
        <v>69</v>
      </c>
      <c r="F21" s="156" t="s">
        <v>151</v>
      </c>
      <c r="G21" s="144"/>
      <c r="H21" s="168"/>
      <c r="L21" s="166"/>
      <c r="M21" s="166"/>
      <c r="N21" s="166"/>
    </row>
    <row r="22" customFormat="false" ht="12.75" hidden="false" customHeight="true" outlineLevel="0" collapsed="false">
      <c r="B22" s="169" t="n">
        <v>0.68</v>
      </c>
      <c r="C22" s="114"/>
      <c r="D22" s="170" t="n">
        <f aca="false">'Beginning of Year Input'!E77</f>
        <v>3.91108333333333</v>
      </c>
      <c r="E22" s="153"/>
      <c r="F22" s="171" t="n">
        <f aca="false">B22*D22</f>
        <v>2.65953666666667</v>
      </c>
      <c r="G22" s="122"/>
      <c r="H22" s="122"/>
      <c r="L22" s="166"/>
      <c r="M22" s="166"/>
      <c r="N22" s="166"/>
    </row>
    <row r="23" customFormat="false" ht="12.75" hidden="false" customHeight="false" outlineLevel="0" collapsed="false">
      <c r="G23" s="6"/>
    </row>
    <row r="24" customFormat="false" ht="28.5" hidden="false" customHeight="true" outlineLevel="0" collapsed="false">
      <c r="A24" s="91" t="s">
        <v>209</v>
      </c>
      <c r="B24" s="91"/>
      <c r="C24" s="91"/>
      <c r="D24" s="91"/>
      <c r="E24" s="91"/>
      <c r="F24" s="91"/>
      <c r="G24" s="91"/>
      <c r="H24" s="91"/>
      <c r="I24" s="91"/>
      <c r="J24" s="91"/>
      <c r="K24" s="166"/>
      <c r="L24" s="166"/>
      <c r="M24" s="166"/>
      <c r="N24" s="166"/>
    </row>
    <row r="25" customFormat="false" ht="24" hidden="false" customHeight="true" outlineLevel="0" collapsed="false">
      <c r="B25" s="172" t="s">
        <v>210</v>
      </c>
      <c r="C25" s="114" t="s">
        <v>177</v>
      </c>
      <c r="D25" s="50" t="s">
        <v>211</v>
      </c>
      <c r="E25" s="105" t="s">
        <v>161</v>
      </c>
      <c r="F25" s="50" t="s">
        <v>180</v>
      </c>
      <c r="G25" s="114" t="s">
        <v>69</v>
      </c>
      <c r="H25" s="156" t="s">
        <v>153</v>
      </c>
      <c r="I25" s="144"/>
      <c r="J25" s="144"/>
      <c r="N25" s="166"/>
    </row>
    <row r="26" customFormat="false" ht="24.75" hidden="false" customHeight="true" outlineLevel="0" collapsed="false">
      <c r="B26" s="173" t="n">
        <v>0.625</v>
      </c>
      <c r="C26" s="133" t="s">
        <v>212</v>
      </c>
      <c r="D26" s="122" t="n">
        <f aca="false">'Beginning of Year Input'!E32</f>
        <v>180.525</v>
      </c>
      <c r="E26" s="114" t="s">
        <v>179</v>
      </c>
      <c r="F26" s="174" t="n">
        <v>137</v>
      </c>
      <c r="G26" s="1" t="s">
        <v>203</v>
      </c>
      <c r="H26" s="136" t="n">
        <f aca="false">B26*D26/F26</f>
        <v>0.82356295620438</v>
      </c>
      <c r="I26" s="122"/>
      <c r="J26" s="122"/>
      <c r="N26" s="166"/>
    </row>
    <row r="28" customFormat="false" ht="48.75" hidden="false" customHeight="true" outlineLevel="0" collapsed="false">
      <c r="A28" s="132" t="s">
        <v>213</v>
      </c>
      <c r="B28" s="132"/>
      <c r="C28" s="132"/>
      <c r="D28" s="132"/>
      <c r="E28" s="132"/>
      <c r="F28" s="132"/>
      <c r="G28" s="132"/>
      <c r="H28" s="132"/>
      <c r="I28" s="132"/>
      <c r="J28" s="132"/>
      <c r="K28" s="175"/>
      <c r="L28" s="175"/>
      <c r="M28" s="175"/>
      <c r="N28" s="175"/>
    </row>
    <row r="30" customFormat="false" ht="26.25" hidden="false" customHeight="true" outlineLevel="0" collapsed="false">
      <c r="B30" s="172" t="s">
        <v>214</v>
      </c>
      <c r="C30" s="114" t="s">
        <v>177</v>
      </c>
      <c r="D30" s="50" t="s">
        <v>22</v>
      </c>
      <c r="E30" s="114" t="s">
        <v>69</v>
      </c>
      <c r="F30" s="50" t="s">
        <v>192</v>
      </c>
      <c r="G30" s="118"/>
      <c r="H30" s="144"/>
      <c r="I30" s="157"/>
      <c r="J30" s="144"/>
    </row>
    <row r="31" customFormat="false" ht="12.75" hidden="false" customHeight="false" outlineLevel="0" collapsed="false">
      <c r="B31" s="173" t="n">
        <f aca="false">IF(AND('1st Cargo Input'!J101="N"),(0.725),('1st Cargo Input'!J101="Y")*(0.225))*AND(IF(AND('1st Cargo Input'!J99="N"),(0),('1st Cargo Input'!J99="Y")*(1)))</f>
        <v>0</v>
      </c>
      <c r="C31" s="114"/>
      <c r="D31" s="122" t="n">
        <f aca="false">'Adjustment Factor'!L9</f>
        <v>1.1588503649635</v>
      </c>
      <c r="E31" s="114"/>
      <c r="F31" s="176" t="n">
        <f aca="false">(B31*D31)</f>
        <v>0</v>
      </c>
      <c r="G31" s="138"/>
      <c r="H31" s="79"/>
      <c r="I31" s="177"/>
      <c r="J31" s="162"/>
    </row>
    <row r="32" customFormat="false" ht="12.75" hidden="false" customHeight="false" outlineLevel="0" collapsed="false">
      <c r="C32" s="114"/>
    </row>
  </sheetData>
  <mergeCells count="4">
    <mergeCell ref="A16:J16"/>
    <mergeCell ref="A20:J20"/>
    <mergeCell ref="A24:J24"/>
    <mergeCell ref="A28:J28"/>
  </mergeCells>
  <printOptions headings="false" gridLines="false" gridLinesSet="true" horizontalCentered="false" verticalCentered="false"/>
  <pageMargins left="1" right="0.747916666666667" top="0.65" bottom="0.619444444444445" header="0.65" footer="0.209722222222222"/>
  <pageSetup paperSize="1" scale="100" fitToWidth="1" fitToHeight="1" pageOrder="downThenOver" orientation="landscape" blackAndWhite="false" draft="false" cellComments="none" horizontalDpi="300" verticalDpi="300" copies="1"/>
  <headerFooter differentFirst="false" differentOddEven="false">
    <oddHeader>&amp;LEcoElectrica, LP
LNG Sales Contract
Article 8 - Price
8.3 Commodity Charge</oddHeader>
    <oddFooter>&amp;LLNG Sales Contract
&amp;D
&amp;T&amp;CCommodity Charge&amp;R&amp;P of &amp;N</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1999-08-26T12:18:10Z</dcterms:created>
  <dc:creator>gloria ortiz</dc:creator>
  <dc:description/>
  <dc:language>en-US</dc:language>
  <cp:lastModifiedBy>EcoElectrica</cp:lastModifiedBy>
  <cp:lastPrinted>2001-06-08T16:13:45Z</cp:lastPrinted>
  <cp:revision>0</cp:revision>
  <dc:subject/>
  <dc:title/>
</cp:coreProperties>
</file>