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DEL" sheetId="1" state="visible" r:id="rId3"/>
    <sheet name="LIST" sheetId="2" state="visible" r:id="rId4"/>
    <sheet name="CALC" sheetId="3" state="visible" r:id="rId5"/>
  </sheets>
  <externalReferences>
    <externalReference r:id="rId6"/>
  </externalReferences>
  <definedNames>
    <definedName function="false" hidden="false" name="calcdate" vbProcedure="false">CALC!$C$9</definedName>
    <definedName function="false" hidden="false" name="destination" vbProcedure="false">LIST!$C$13</definedName>
    <definedName function="false" hidden="false" name="destination_choice" vbProcedure="false">LIST!$C$14</definedName>
    <definedName function="false" hidden="false" name="destination_port" vbProcedure="false">LIST!$C$16:$C$24</definedName>
    <definedName function="false" hidden="false" name="enddate" vbProcedure="false">MODEL!$D$14</definedName>
    <definedName function="false" hidden="false" name="roundtrip_boiloff_calc" vbProcedure="false">CALC!$C$15</definedName>
    <definedName function="false" hidden="false" name="roundtrip_days" vbProcedure="false">MODEL!$D$18</definedName>
    <definedName function="false" hidden="false" name="roundtrip_days_calc" vbProcedure="false">CALC!$C$14</definedName>
    <definedName function="false" hidden="false" name="roundtrip_miles" vbProcedure="false">MODEL!$D$17</definedName>
    <definedName function="false" hidden="false" name="roundtrip_miles_calc" vbProcedure="false">CALC!$C$13</definedName>
    <definedName function="false" hidden="false" name="route" vbProcedure="false">CALC!$C$10</definedName>
    <definedName function="false" hidden="false" name="route_choice" vbProcedure="false">LIST!$D$16</definedName>
    <definedName function="false" hidden="false" name="source" vbProcedure="false">LIST!$B$13</definedName>
    <definedName function="false" hidden="false" name="source_choice" vbProcedure="false">LIST!$B$14</definedName>
    <definedName function="false" hidden="false" name="source_port" vbProcedure="false">LIST!$B$16:$B$24</definedName>
    <definedName function="false" hidden="false" name="startdate" vbProcedure="false">MODEL!$D$13</definedName>
    <definedName function="false" hidden="false" name="suez" vbProcedure="false">LIST!$D$13</definedName>
    <definedName function="false" hidden="false" name="TripsYear" vbProcedure="false">MODEL!$D$19</definedName>
    <definedName function="false" hidden="false" name="vessel" vbProcedure="false">CALC!$C$11</definedName>
    <definedName function="false" hidden="false" name="vessels" vbProcedure="false">LIST!$B$6:$B$8</definedName>
    <definedName function="false" hidden="false" name="vessel_choice" vbProcedure="false">LIST!$B$3</definedName>
    <definedName function="false" hidden="false" name="vessel_choice_link" vbProcedure="false">LIST!$B$4</definedName>
    <definedName function="false" hidden="false" name="vessel_m3" vbProcedure="false">MODEL!$D$5</definedName>
    <definedName function="false" hidden="false" name="vessel_m3_choice" vbProcedure="false">LIST!$C$4</definedName>
    <definedName function="false" hidden="false" name="vessel_m3_list" vbProcedure="false">LIST!$C$6:$C$8</definedName>
    <definedName function="false" hidden="false" name="vessel_mmbtu" vbProcedure="false">MODEL!$D$6</definedName>
    <definedName function="false" hidden="false" name="vessel_mmbtu_choice" vbProcedure="false">LIST!$D$4</definedName>
    <definedName function="false" hidden="false" name="vessel_mmbtu_list" vbProcedure="false">LIST!$D$6:$D$8</definedName>
    <definedName function="false" hidden="false" name="vessel_speed" vbProcedure="false">MODEL!$D$7</definedName>
    <definedName function="false" hidden="false" name="vessel_speed_choice" vbProcedure="false">LIST!$E$4</definedName>
    <definedName function="false" hidden="false" name="vessel_speed_list" vbProcedure="false">LIST!$E$6:$E$8</definedName>
    <definedName function="false" hidden="false" name="vessel_uom_choice" vbProcedure="false">LIST!$C$3</definedName>
    <definedName function="false" hidden="false" name="vessel_uom_link" vbProcedure="false">LIST!$F$6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<sst xmlns="http://schemas.openxmlformats.org/spreadsheetml/2006/main" count="85" uniqueCount="80">
  <si>
    <t xml:space="preserve">ENRON LNG PRICING MODEL</t>
  </si>
  <si>
    <t xml:space="preserve">Vessel Name</t>
  </si>
  <si>
    <t xml:space="preserve">SHIPPING COSTS</t>
  </si>
  <si>
    <t xml:space="preserve">PER LOADED MMBTU</t>
  </si>
  <si>
    <t xml:space="preserve">PER CARGO</t>
  </si>
  <si>
    <t xml:space="preserve">PER YEAR</t>
  </si>
  <si>
    <r>
      <rPr>
        <b val="true"/>
        <sz val="12"/>
        <rFont val="Arial"/>
        <family val="2"/>
      </rPr>
      <t xml:space="preserve">Vessel Size                                   m</t>
    </r>
    <r>
      <rPr>
        <b val="true"/>
        <vertAlign val="superscript"/>
        <sz val="12"/>
        <rFont val="Arial"/>
        <family val="2"/>
      </rPr>
      <t xml:space="preserve">3</t>
    </r>
  </si>
  <si>
    <t xml:space="preserve">Fixed Charter Cost</t>
  </si>
  <si>
    <t xml:space="preserve">Vessel Size                            mmbtu</t>
  </si>
  <si>
    <t xml:space="preserve">O&amp;M Charter Cost</t>
  </si>
  <si>
    <t xml:space="preserve">Vessel Speed                            mph</t>
  </si>
  <si>
    <t xml:space="preserve">Bunker Fuel</t>
  </si>
  <si>
    <t xml:space="preserve">Port Charge - Source</t>
  </si>
  <si>
    <t xml:space="preserve">Source Port</t>
  </si>
  <si>
    <t xml:space="preserve">Port Charge - Dest.</t>
  </si>
  <si>
    <t xml:space="preserve">Destination Port</t>
  </si>
  <si>
    <t xml:space="preserve">Suez Canal Charge</t>
  </si>
  <si>
    <t xml:space="preserve">Via Suez</t>
  </si>
  <si>
    <t xml:space="preserve">Other Cost</t>
  </si>
  <si>
    <t xml:space="preserve">Total Shipping Cost</t>
  </si>
  <si>
    <t xml:space="preserve">Start Month</t>
  </si>
  <si>
    <t xml:space="preserve">End Month</t>
  </si>
  <si>
    <t xml:space="preserve">TRIP DATA</t>
  </si>
  <si>
    <t xml:space="preserve">Nautical Miles - Roundtrip</t>
  </si>
  <si>
    <t xml:space="preserve">Roundtrip Time - Days</t>
  </si>
  <si>
    <t xml:space="preserve">Trips per Year</t>
  </si>
  <si>
    <t xml:space="preserve">VOLUMETRICS</t>
  </si>
  <si>
    <t xml:space="preserve">Shipment</t>
  </si>
  <si>
    <t xml:space="preserve">Annual</t>
  </si>
  <si>
    <t xml:space="preserve">Loaded Volume</t>
  </si>
  <si>
    <t xml:space="preserve">Boil off Percentage</t>
  </si>
  <si>
    <t xml:space="preserve">Total Boil Off</t>
  </si>
  <si>
    <t xml:space="preserve">Unloaded Volume</t>
  </si>
  <si>
    <t xml:space="preserve">VESSELS</t>
  </si>
  <si>
    <t xml:space="preserve">Choice-----------------&gt;</t>
  </si>
  <si>
    <t xml:space="preserve">Vessel Type</t>
  </si>
  <si>
    <r>
      <rPr>
        <b val="true"/>
        <sz val="10"/>
        <rFont val="Arial"/>
        <family val="2"/>
      </rPr>
      <t xml:space="preserve">m</t>
    </r>
    <r>
      <rPr>
        <b val="true"/>
        <vertAlign val="superscript"/>
        <sz val="12"/>
        <rFont val="Arial"/>
        <family val="2"/>
      </rPr>
      <t xml:space="preserve">3</t>
    </r>
  </si>
  <si>
    <t xml:space="preserve">mmbtu</t>
  </si>
  <si>
    <t xml:space="preserve">speed</t>
  </si>
  <si>
    <t xml:space="preserve">uom</t>
  </si>
  <si>
    <t xml:space="preserve">HG</t>
  </si>
  <si>
    <t xml:space="preserve">EXMAR</t>
  </si>
  <si>
    <t xml:space="preserve">Spot</t>
  </si>
  <si>
    <t xml:space="preserve">ROUTE</t>
  </si>
  <si>
    <t xml:space="preserve">Source</t>
  </si>
  <si>
    <t xml:space="preserve">Destination</t>
  </si>
  <si>
    <t xml:space="preserve">Route</t>
  </si>
  <si>
    <t xml:space="preserve">ABU DHABI</t>
  </si>
  <si>
    <t xml:space="preserve">ELBA</t>
  </si>
  <si>
    <t xml:space="preserve">QATAR</t>
  </si>
  <si>
    <t xml:space="preserve">LAKE CHARLES</t>
  </si>
  <si>
    <t xml:space="preserve">ALGERIA</t>
  </si>
  <si>
    <t xml:space="preserve">CABOT</t>
  </si>
  <si>
    <t xml:space="preserve">VENEZUELA</t>
  </si>
  <si>
    <t xml:space="preserve">COVE POINT</t>
  </si>
  <si>
    <t xml:space="preserve">OMAN</t>
  </si>
  <si>
    <t xml:space="preserve">PUERTO RICO</t>
  </si>
  <si>
    <t xml:space="preserve">TRINIDAD</t>
  </si>
  <si>
    <t xml:space="preserve">SPAIN</t>
  </si>
  <si>
    <t xml:space="preserve">NIGERIA</t>
  </si>
  <si>
    <t xml:space="preserve">JAPAN</t>
  </si>
  <si>
    <t xml:space="preserve">Total Shipping Cost per Loaded MMBTU</t>
  </si>
  <si>
    <t xml:space="preserve">Cost per Loaded MMBTU-----&gt;</t>
  </si>
  <si>
    <t xml:space="preserve">CALC ROUNDTRIP</t>
  </si>
  <si>
    <t xml:space="preserve">Month</t>
  </si>
  <si>
    <t xml:space="preserve">PV</t>
  </si>
  <si>
    <t xml:space="preserve">Active</t>
  </si>
  <si>
    <t xml:space="preserve">Fixed Charter</t>
  </si>
  <si>
    <t xml:space="preserve">O&amp;M Charter</t>
  </si>
  <si>
    <t xml:space="preserve">Source Port Charge</t>
  </si>
  <si>
    <t xml:space="preserve">Dest Port Charge</t>
  </si>
  <si>
    <t xml:space="preserve">Suez</t>
  </si>
  <si>
    <t xml:space="preserve">Other</t>
  </si>
  <si>
    <t xml:space="preserve">Total Shipping</t>
  </si>
  <si>
    <t xml:space="preserve">Calc Date</t>
  </si>
  <si>
    <t xml:space="preserve">Ship</t>
  </si>
  <si>
    <t xml:space="preserve">Range Array</t>
  </si>
  <si>
    <t xml:space="preserve">Roundtrip-Miles</t>
  </si>
  <si>
    <t xml:space="preserve">Roundtrip-Days</t>
  </si>
  <si>
    <t xml:space="preserve">Roundtrip-Boiloff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</si>
</sst>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_);[RED]\(#,##0\)"/>
    <numFmt numFmtId="166" formatCode="\$#,##0.0000_);[RED]&quot;($&quot;#,##0.0000\)"/>
    <numFmt numFmtId="167" formatCode="\$#,##0_);[RED]&quot;($&quot;#,##0\)"/>
    <numFmt numFmtId="168" formatCode="#,##0.0_);[RED]\(#,##0.0\)"/>
    <numFmt numFmtId="169" formatCode="[$-409]mmm\-yy"/>
    <numFmt numFmtId="170" formatCode="0%"/>
    <numFmt numFmtId="171" formatCode="0.00%"/>
    <numFmt numFmtId="172" formatCode="\$#,##0.000_);[RED]&quot;($&quot;#,##0.000\)"/>
    <numFmt numFmtId="173" formatCode="mmmm\ d&quot;, &quot;yyyy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2"/>
      <name val="Arial"/>
      <family val="2"/>
    </font>
    <font>
      <sz val="14"/>
      <name val="Arial"/>
      <family val="2"/>
    </font>
    <font>
      <b val="true"/>
      <sz val="12"/>
      <color rgb="FFFFFFFF"/>
      <name val="Arial"/>
      <family val="2"/>
    </font>
    <font>
      <b val="true"/>
      <sz val="10"/>
      <color rgb="FFFFFFFF"/>
      <name val="Arial"/>
      <family val="2"/>
    </font>
    <font>
      <b val="true"/>
      <vertAlign val="superscript"/>
      <sz val="12"/>
      <name val="Arial"/>
      <family val="2"/>
    </font>
    <font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 val="true"/>
      <sz val="12"/>
      <color rgb="FF00FF00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003366"/>
        <bgColor rgb="FF333399"/>
      </patternFill>
    </fill>
    <fill>
      <patternFill patternType="solid">
        <fgColor rgb="FF969696"/>
        <bgColor rgb="FF808080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800080"/>
        <bgColor rgb="FF800080"/>
      </patternFill>
    </fill>
    <fill>
      <patternFill patternType="solid">
        <fgColor rgb="FF0066CC"/>
        <bgColor rgb="FF008080"/>
      </patternFill>
    </fill>
    <fill>
      <patternFill patternType="solid">
        <fgColor rgb="FFCC99FF"/>
        <bgColor rgb="FF9999FF"/>
      </patternFill>
    </fill>
    <fill>
      <patternFill patternType="solid">
        <fgColor rgb="FF99CCFF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1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1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8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0" fillId="5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1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1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1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1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1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9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8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1" fillId="11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9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6" fillId="11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8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10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2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1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11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8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1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2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1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1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1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11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1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1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8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1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5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11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965880</xdr:colOff>
          <xdr:row>2</xdr:row>
          <xdr:rowOff>66600</xdr:rowOff>
        </xdr:from>
        <xdr:to>
          <xdr:col>4</xdr:col>
          <xdr:colOff>353520</xdr:colOff>
          <xdr:row>4</xdr:row>
          <xdr:rowOff>95400</xdr:rowOff>
        </xdr:to>
        <xdr:sp>
          <xdr:nvSpPr>
            <xdr:cNvPr id="0" name="Drop Down 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4</xdr:col>
          <xdr:colOff>11160</xdr:colOff>
          <xdr:row>9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11160</xdr:colOff>
          <xdr:row>10</xdr:row>
          <xdr:rowOff>0</xdr:rowOff>
        </xdr:to>
        <xdr:sp>
          <xdr:nvSpPr>
            <xdr:cNvPr id="0" name="Drop Down 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4</xdr:col>
          <xdr:colOff>11160</xdr:colOff>
          <xdr:row>7</xdr:row>
          <xdr:rowOff>9000</xdr:rowOff>
        </xdr:to>
        <xdr:sp>
          <xdr:nvSpPr>
            <xdr:cNvPr id="0" name="Group Box 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4</xdr:col>
          <xdr:colOff>11160</xdr:colOff>
          <xdr:row>11</xdr:row>
          <xdr:rowOff>9360</xdr:rowOff>
        </xdr:to>
        <xdr:sp>
          <xdr:nvSpPr>
            <xdr:cNvPr id="0" name="Group Box 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15</xdr:row>
          <xdr:rowOff>0</xdr:rowOff>
        </xdr:from>
        <xdr:to>
          <xdr:col>4</xdr:col>
          <xdr:colOff>11160</xdr:colOff>
          <xdr:row>19</xdr:row>
          <xdr:rowOff>9720</xdr:rowOff>
        </xdr:to>
        <xdr:sp>
          <xdr:nvSpPr>
            <xdr:cNvPr id="0" name="Group Box 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965880</xdr:colOff>
          <xdr:row>13</xdr:row>
          <xdr:rowOff>153000</xdr:rowOff>
        </xdr:from>
        <xdr:to>
          <xdr:col>3</xdr:col>
          <xdr:colOff>443520</xdr:colOff>
          <xdr:row>15</xdr:row>
          <xdr:rowOff>57600</xdr:rowOff>
        </xdr:to>
        <xdr:sp>
          <xdr:nvSpPr>
            <xdr:cNvPr id="0" name="Option Button 8" descr="Y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Yes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381960</xdr:colOff>
          <xdr:row>13</xdr:row>
          <xdr:rowOff>153000</xdr:rowOff>
        </xdr:from>
        <xdr:to>
          <xdr:col>4</xdr:col>
          <xdr:colOff>61560</xdr:colOff>
          <xdr:row>15</xdr:row>
          <xdr:rowOff>57600</xdr:rowOff>
        </xdr:to>
        <xdr:sp>
          <xdr:nvSpPr>
            <xdr:cNvPr id="0" name="Option Button 9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21</xdr:row>
          <xdr:rowOff>0</xdr:rowOff>
        </xdr:from>
        <xdr:to>
          <xdr:col>3</xdr:col>
          <xdr:colOff>1080</xdr:colOff>
          <xdr:row>25</xdr:row>
          <xdr:rowOff>9720</xdr:rowOff>
        </xdr:to>
        <xdr:sp>
          <xdr:nvSpPr>
            <xdr:cNvPr id="0" name="Group Box 1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4</xdr:col>
          <xdr:colOff>1420920</xdr:colOff>
          <xdr:row>25</xdr:row>
          <xdr:rowOff>9720</xdr:rowOff>
        </xdr:to>
        <xdr:sp>
          <xdr:nvSpPr>
            <xdr:cNvPr id="0" name="Group Box 1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180720</xdr:colOff>
          <xdr:row>12</xdr:row>
          <xdr:rowOff>0</xdr:rowOff>
        </xdr:from>
        <xdr:to>
          <xdr:col>4</xdr:col>
          <xdr:colOff>11160</xdr:colOff>
          <xdr:row>14</xdr:row>
          <xdr:rowOff>10080</xdr:rowOff>
        </xdr:to>
        <xdr:sp>
          <xdr:nvSpPr>
            <xdr:cNvPr id="0" name="Group Box 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772560</xdr:colOff>
          <xdr:row>29</xdr:row>
          <xdr:rowOff>142920</xdr:rowOff>
        </xdr:from>
        <xdr:to>
          <xdr:col>2</xdr:col>
          <xdr:colOff>495360</xdr:colOff>
          <xdr:row>31</xdr:row>
          <xdr:rowOff>47880</xdr:rowOff>
        </xdr:to>
        <xdr:sp>
          <xdr:nvSpPr>
            <xdr:cNvPr id="0" name="Option Button 19" descr="MMBTU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MMBTU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433080</xdr:colOff>
          <xdr:row>29</xdr:row>
          <xdr:rowOff>142920</xdr:rowOff>
        </xdr:from>
        <xdr:to>
          <xdr:col>3</xdr:col>
          <xdr:colOff>111600</xdr:colOff>
          <xdr:row>31</xdr:row>
          <xdr:rowOff>47880</xdr:rowOff>
        </xdr:to>
        <xdr:sp>
          <xdr:nvSpPr>
            <xdr:cNvPr id="0" name="Option Button 20" descr="M3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M3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LNG_Curve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IP CURVES"/>
      <sheetName val="TERMINAL CURVES"/>
      <sheetName val="PORTS"/>
      <sheetName val="ROUTES"/>
      <sheetName val="SHIPS"/>
      <sheetName val="FREIGHT"/>
      <sheetName val="ELBA BOOK"/>
      <sheetName val="ELBA INCOME"/>
      <sheetName val="SUMMARY"/>
      <sheetName val="SHIP POSITIONS"/>
      <sheetName val="CURVELOAD"/>
      <sheetName val="CURVECALC"/>
    </sheetNames>
    <definedNames>
      <definedName name="curvecalc" refersTo="[1]CURVECALC!$C$5:$J$317"/>
      <definedName name="FIXED_CHARTER_COST" refersTo="[1]SHIPS!$B$24:$H$333"/>
      <definedName name="OM_CHARTER_COST" refersTo="[1]SHIPS!$B$334:$H$642"/>
      <definedName name="bunker_cost" refersTo="[1]ROUTES!$AE$3:$AK$197"/>
      <definedName name="bunker_cost_route" refersTo="[1]ROUTES!$AE$3:$AE$197"/>
      <definedName name="bunker_cost_ship" refersTo="[1]ROUTES!$AE$3:$AL$3"/>
      <definedName name="PORT_CHARGES" refersTo="[1]PORTS!$A$4:$F$102"/>
      <definedName name="PORTS" refersTo="[1]PORTS!$A$4:$A$102"/>
      <definedName name="PORT_CHARGE_SHIPS" refersTo="[1]PORTS!$A$4:$F$4"/>
      <definedName name="other_cost" refersTo="[1]FREIGHT!$A$5:$H$23"/>
      <definedName name="MILES" refersTo="[1]ROUTES!$A$4:$E$166"/>
      <definedName name="ROUNDTRIP_DAYS" refersTo="[1]ROUTES!$W$3:$AC$196"/>
      <definedName name="ROUNDTRIP_ROUTES" refersTo="[1]ROUTES!$W$3:$W$196"/>
      <definedName name="ROUNDTRIP_SHIPS" refersTo="[1]ROUTES!$W$3:$AC$3"/>
      <definedName name="LADEN_VOYAGE_DAYS" refersTo="[1]ROUTES!$O$3:$U$196"/>
      <definedName name="LADEN_VOYAGE_ROUTES" refersTo="[1]ROUTES!$O$3:$O$196"/>
      <definedName name="LADEN_VOYAGE_SHIPS" refersTo="[1]ROUTES!$O$3:$U$3"/>
      <definedName name="SHIPS" refersTo="[1]SHIPS!$A$5:$H$23"/>
    </definedNames>
    <sheetDataSet>
      <sheetData sheetId="0"/>
      <sheetData sheetId="1"/>
      <sheetData sheetId="2">
        <row r="4">
          <cell r="A4" t="str">
            <v>Port City</v>
          </cell>
          <cell r="B4" t="str">
            <v>HG</v>
          </cell>
          <cell r="C4" t="str">
            <v>EXMAR</v>
          </cell>
        </row>
        <row r="5">
          <cell r="A5" t="str">
            <v>ALGERIA</v>
          </cell>
          <cell r="B5">
            <v>150000</v>
          </cell>
          <cell r="C5">
            <v>156000</v>
          </cell>
        </row>
        <row r="6">
          <cell r="A6" t="str">
            <v>ELBA</v>
          </cell>
          <cell r="B6">
            <v>35000</v>
          </cell>
          <cell r="C6">
            <v>41000</v>
          </cell>
        </row>
        <row r="7">
          <cell r="A7" t="str">
            <v>QATAR</v>
          </cell>
          <cell r="B7">
            <v>40000</v>
          </cell>
          <cell r="C7">
            <v>46000</v>
          </cell>
        </row>
        <row r="8">
          <cell r="A8" t="str">
            <v>LAKE CHARLES</v>
          </cell>
          <cell r="B8">
            <v>40000</v>
          </cell>
          <cell r="C8">
            <v>46000</v>
          </cell>
        </row>
        <row r="9">
          <cell r="A9" t="str">
            <v>VENEZUELA</v>
          </cell>
          <cell r="B9">
            <v>40000</v>
          </cell>
          <cell r="C9">
            <v>46000</v>
          </cell>
        </row>
        <row r="10">
          <cell r="A10" t="str">
            <v>SUEZ</v>
          </cell>
          <cell r="B10">
            <v>440000</v>
          </cell>
          <cell r="C10">
            <v>525000</v>
          </cell>
        </row>
        <row r="11">
          <cell r="A11" t="str">
            <v>PUERTO RICO</v>
          </cell>
          <cell r="B11">
            <v>50000</v>
          </cell>
          <cell r="C11">
            <v>65000</v>
          </cell>
        </row>
      </sheetData>
      <sheetData sheetId="3">
        <row r="3">
          <cell r="P3" t="str">
            <v>HG</v>
          </cell>
          <cell r="Q3" t="str">
            <v>EXMAR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</row>
        <row r="3">
          <cell r="X3" t="str">
            <v>HG</v>
          </cell>
          <cell r="Y3" t="str">
            <v>EXMAR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</row>
        <row r="3">
          <cell r="AF3" t="str">
            <v>HG</v>
          </cell>
          <cell r="AG3" t="str">
            <v>EXMAR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</row>
        <row r="4">
          <cell r="A4" t="str">
            <v>DESCRIPTION</v>
          </cell>
          <cell r="B4" t="str">
            <v>SUPPLY</v>
          </cell>
          <cell r="C4" t="str">
            <v>DEMAND</v>
          </cell>
          <cell r="D4" t="str">
            <v>ROUTE</v>
          </cell>
          <cell r="E4" t="str">
            <v>MILES</v>
          </cell>
        </row>
        <row r="4">
          <cell r="P4">
            <v>1</v>
          </cell>
          <cell r="Q4">
            <v>2</v>
          </cell>
          <cell r="R4">
            <v>3</v>
          </cell>
          <cell r="S4">
            <v>4</v>
          </cell>
          <cell r="T4">
            <v>5</v>
          </cell>
          <cell r="U4">
            <v>6</v>
          </cell>
        </row>
        <row r="4">
          <cell r="X4">
            <v>1</v>
          </cell>
          <cell r="Y4">
            <v>2</v>
          </cell>
          <cell r="Z4">
            <v>3</v>
          </cell>
          <cell r="AA4">
            <v>4</v>
          </cell>
          <cell r="AB4">
            <v>5</v>
          </cell>
          <cell r="AC4">
            <v>6</v>
          </cell>
        </row>
        <row r="4">
          <cell r="AF4">
            <v>1</v>
          </cell>
          <cell r="AG4">
            <v>2</v>
          </cell>
          <cell r="AH4">
            <v>3</v>
          </cell>
          <cell r="AI4">
            <v>4</v>
          </cell>
          <cell r="AJ4">
            <v>5</v>
          </cell>
          <cell r="AK4">
            <v>6</v>
          </cell>
        </row>
        <row r="5">
          <cell r="A5" t="str">
            <v>QATARELBA</v>
          </cell>
          <cell r="B5" t="str">
            <v>QATAR</v>
          </cell>
          <cell r="C5" t="str">
            <v>ELBA</v>
          </cell>
        </row>
        <row r="5">
          <cell r="E5">
            <v>11772</v>
          </cell>
        </row>
        <row r="5">
          <cell r="O5" t="str">
            <v>QATARELBA</v>
          </cell>
          <cell r="P5">
            <v>31</v>
          </cell>
          <cell r="Q5">
            <v>31</v>
          </cell>
        </row>
        <row r="5">
          <cell r="W5" t="str">
            <v>QATARELBA</v>
          </cell>
          <cell r="X5">
            <v>60</v>
          </cell>
          <cell r="Y5">
            <v>57</v>
          </cell>
        </row>
        <row r="5">
          <cell r="AE5" t="str">
            <v>QATARELBA</v>
          </cell>
          <cell r="AF5">
            <v>993247.5</v>
          </cell>
          <cell r="AG5">
            <v>1096008.83152174</v>
          </cell>
        </row>
        <row r="6">
          <cell r="A6" t="str">
            <v>QATARELBASUEZ</v>
          </cell>
          <cell r="B6" t="str">
            <v>QATAR</v>
          </cell>
          <cell r="C6" t="str">
            <v>ELBA</v>
          </cell>
          <cell r="D6" t="str">
            <v>SUEZ</v>
          </cell>
          <cell r="E6">
            <v>8666</v>
          </cell>
        </row>
        <row r="6">
          <cell r="O6" t="str">
            <v>QATARELBASUEZ</v>
          </cell>
          <cell r="P6">
            <v>25</v>
          </cell>
          <cell r="Q6">
            <v>25</v>
          </cell>
        </row>
        <row r="6">
          <cell r="W6" t="str">
            <v>QATARELBASUEZ</v>
          </cell>
          <cell r="X6">
            <v>48</v>
          </cell>
          <cell r="Y6">
            <v>46</v>
          </cell>
        </row>
        <row r="6">
          <cell r="AE6" t="str">
            <v>QATARELBASUEZ</v>
          </cell>
          <cell r="AF6">
            <v>749761.25</v>
          </cell>
          <cell r="AG6">
            <v>830054.008152174</v>
          </cell>
        </row>
        <row r="7">
          <cell r="A7" t="str">
            <v>QATARLAKE CHARLES</v>
          </cell>
          <cell r="B7" t="str">
            <v>QATAR</v>
          </cell>
          <cell r="C7" t="str">
            <v>LAKE CHARLES</v>
          </cell>
        </row>
        <row r="7">
          <cell r="E7">
            <v>12346</v>
          </cell>
        </row>
        <row r="7">
          <cell r="O7" t="str">
            <v>QATARLAKE CHARLES</v>
          </cell>
          <cell r="P7">
            <v>32</v>
          </cell>
          <cell r="Q7">
            <v>32</v>
          </cell>
        </row>
        <row r="7">
          <cell r="W7" t="str">
            <v>QATARLAKE CHARLES</v>
          </cell>
          <cell r="X7">
            <v>62</v>
          </cell>
          <cell r="Y7">
            <v>59</v>
          </cell>
        </row>
        <row r="7">
          <cell r="AE7" t="str">
            <v>QATARLAKE CHARLES</v>
          </cell>
          <cell r="AF7">
            <v>1040961.25</v>
          </cell>
          <cell r="AG7">
            <v>1148554.00815217</v>
          </cell>
        </row>
        <row r="8">
          <cell r="A8" t="str">
            <v>QATARLAKE CHARLESSUEZ</v>
          </cell>
          <cell r="B8" t="str">
            <v>QATAR</v>
          </cell>
          <cell r="C8" t="str">
            <v>LAKE CHARLES</v>
          </cell>
          <cell r="D8" t="str">
            <v>SUEZ</v>
          </cell>
          <cell r="E8">
            <v>9687</v>
          </cell>
        </row>
        <row r="8">
          <cell r="O8" t="str">
            <v>QATARLAKE CHARLESSUEZ</v>
          </cell>
          <cell r="P8">
            <v>27</v>
          </cell>
          <cell r="Q8">
            <v>27</v>
          </cell>
        </row>
        <row r="8">
          <cell r="W8" t="str">
            <v>QATARLAKE CHARLESSUEZ</v>
          </cell>
          <cell r="X8">
            <v>53</v>
          </cell>
          <cell r="Y8">
            <v>50</v>
          </cell>
        </row>
        <row r="8">
          <cell r="AE8" t="str">
            <v>QATARLAKE CHARLESSUEZ</v>
          </cell>
          <cell r="AF8">
            <v>834631.875</v>
          </cell>
          <cell r="AG8">
            <v>923518.512228261</v>
          </cell>
        </row>
        <row r="9">
          <cell r="A9" t="str">
            <v>QATARCABOT</v>
          </cell>
          <cell r="B9" t="str">
            <v>QATAR</v>
          </cell>
          <cell r="C9" t="str">
            <v>CABOT</v>
          </cell>
        </row>
        <row r="9">
          <cell r="E9">
            <v>11618</v>
          </cell>
        </row>
        <row r="9">
          <cell r="O9" t="str">
            <v>QATARCABOT</v>
          </cell>
          <cell r="P9">
            <v>30</v>
          </cell>
          <cell r="Q9">
            <v>30</v>
          </cell>
        </row>
        <row r="9">
          <cell r="W9" t="str">
            <v>QATARCABOT</v>
          </cell>
          <cell r="X9">
            <v>59</v>
          </cell>
          <cell r="Y9">
            <v>56</v>
          </cell>
        </row>
        <row r="9">
          <cell r="AE9" t="str">
            <v>QATARCABOT</v>
          </cell>
          <cell r="AF9">
            <v>980446.25</v>
          </cell>
          <cell r="AG9">
            <v>1081911.3451087</v>
          </cell>
        </row>
        <row r="10">
          <cell r="A10" t="str">
            <v>QATARCABOTSUEZ</v>
          </cell>
          <cell r="B10" t="str">
            <v>QATAR</v>
          </cell>
          <cell r="C10" t="str">
            <v>CABOT</v>
          </cell>
          <cell r="D10" t="str">
            <v>SUEZ</v>
          </cell>
          <cell r="E10">
            <v>8025</v>
          </cell>
        </row>
        <row r="10">
          <cell r="O10" t="str">
            <v>QATARCABOTSUEZ</v>
          </cell>
          <cell r="P10">
            <v>23</v>
          </cell>
          <cell r="Q10">
            <v>23</v>
          </cell>
        </row>
        <row r="10">
          <cell r="W10" t="str">
            <v>QATARCABOTSUEZ</v>
          </cell>
          <cell r="X10">
            <v>45</v>
          </cell>
          <cell r="Y10">
            <v>43</v>
          </cell>
        </row>
        <row r="10">
          <cell r="AE10" t="str">
            <v>QATARCABOTSUEZ</v>
          </cell>
          <cell r="AF10">
            <v>696478.125</v>
          </cell>
          <cell r="AG10">
            <v>771375.50951087</v>
          </cell>
        </row>
        <row r="11">
          <cell r="A11" t="str">
            <v>QATARCOVE POINT</v>
          </cell>
          <cell r="B11" t="str">
            <v>QATAR</v>
          </cell>
          <cell r="C11" t="str">
            <v>COVE POINT</v>
          </cell>
        </row>
        <row r="11">
          <cell r="E11">
            <v>11822</v>
          </cell>
        </row>
        <row r="11">
          <cell r="O11" t="str">
            <v>QATARCOVE POINT</v>
          </cell>
          <cell r="P11">
            <v>31</v>
          </cell>
          <cell r="Q11">
            <v>31</v>
          </cell>
        </row>
        <row r="11">
          <cell r="W11" t="str">
            <v>QATARCOVE POINT</v>
          </cell>
          <cell r="X11">
            <v>60</v>
          </cell>
          <cell r="Y11">
            <v>57</v>
          </cell>
        </row>
        <row r="11">
          <cell r="AE11" t="str">
            <v>QATARCOVE POINT</v>
          </cell>
          <cell r="AF11">
            <v>997403.75</v>
          </cell>
          <cell r="AG11">
            <v>1100585.9375</v>
          </cell>
        </row>
        <row r="12">
          <cell r="A12" t="str">
            <v>QATARCOVE POINTSUEZ</v>
          </cell>
          <cell r="B12" t="str">
            <v>QATAR</v>
          </cell>
          <cell r="C12" t="str">
            <v>COVE POINT</v>
          </cell>
          <cell r="D12" t="str">
            <v>SUEZ</v>
          </cell>
          <cell r="E12">
            <v>8467</v>
          </cell>
        </row>
        <row r="12">
          <cell r="O12" t="str">
            <v>QATARCOVE POINTSUEZ</v>
          </cell>
          <cell r="P12">
            <v>24</v>
          </cell>
          <cell r="Q12">
            <v>24</v>
          </cell>
        </row>
        <row r="12">
          <cell r="W12" t="str">
            <v>QATARCOVE POINTSUEZ</v>
          </cell>
          <cell r="X12">
            <v>47</v>
          </cell>
          <cell r="Y12">
            <v>45</v>
          </cell>
        </row>
        <row r="12">
          <cell r="AE12" t="str">
            <v>QATARCOVE POINTSUEZ</v>
          </cell>
          <cell r="AF12">
            <v>733219.375</v>
          </cell>
          <cell r="AG12">
            <v>811837.126358696</v>
          </cell>
        </row>
        <row r="13">
          <cell r="A13" t="str">
            <v>QATARBARCELONASUEZ</v>
          </cell>
          <cell r="B13" t="str">
            <v>QATAR</v>
          </cell>
          <cell r="C13" t="str">
            <v>BARCELONA</v>
          </cell>
          <cell r="D13" t="str">
            <v>SUEZ</v>
          </cell>
          <cell r="E13">
            <v>4657</v>
          </cell>
        </row>
        <row r="13">
          <cell r="O13" t="str">
            <v>QATARBARCELONASUEZ</v>
          </cell>
          <cell r="P13">
            <v>15</v>
          </cell>
          <cell r="Q13">
            <v>15</v>
          </cell>
        </row>
        <row r="13">
          <cell r="W13" t="str">
            <v>QATARBARCELONASUEZ</v>
          </cell>
          <cell r="X13">
            <v>29</v>
          </cell>
          <cell r="Y13">
            <v>28</v>
          </cell>
        </row>
        <row r="13">
          <cell r="AE13" t="str">
            <v>QATARBARCELONASUEZ</v>
          </cell>
          <cell r="AF13">
            <v>416513.125</v>
          </cell>
          <cell r="AG13">
            <v>463061.650815217</v>
          </cell>
        </row>
        <row r="14">
          <cell r="A14" t="str">
            <v>ALGERIAELBA</v>
          </cell>
          <cell r="B14" t="str">
            <v>ALGERIA</v>
          </cell>
          <cell r="C14" t="str">
            <v>ELBA</v>
          </cell>
        </row>
        <row r="14">
          <cell r="E14">
            <v>3941</v>
          </cell>
        </row>
        <row r="14">
          <cell r="O14" t="str">
            <v>ALGERIAELBA</v>
          </cell>
          <cell r="P14">
            <v>12</v>
          </cell>
          <cell r="Q14">
            <v>12</v>
          </cell>
        </row>
        <row r="14">
          <cell r="W14" t="str">
            <v>ALGERIAELBA</v>
          </cell>
          <cell r="X14">
            <v>22</v>
          </cell>
          <cell r="Y14">
            <v>21</v>
          </cell>
        </row>
        <row r="14">
          <cell r="AE14" t="str">
            <v>ALGERIAELBA</v>
          </cell>
          <cell r="AF14">
            <v>342295.625</v>
          </cell>
          <cell r="AG14">
            <v>379142.493206522</v>
          </cell>
        </row>
        <row r="15">
          <cell r="A15" t="str">
            <v>ALGERIALAKE CHARLES</v>
          </cell>
          <cell r="B15" t="str">
            <v>ALGERIA</v>
          </cell>
          <cell r="C15" t="str">
            <v>LAKE CHARLES</v>
          </cell>
        </row>
        <row r="15">
          <cell r="E15">
            <v>4962</v>
          </cell>
        </row>
        <row r="15">
          <cell r="O15" t="str">
            <v>ALGERIALAKE CHARLES</v>
          </cell>
          <cell r="P15">
            <v>14</v>
          </cell>
          <cell r="Q15">
            <v>14</v>
          </cell>
        </row>
        <row r="15">
          <cell r="W15" t="str">
            <v>ALGERIALAKE CHARLES</v>
          </cell>
          <cell r="X15">
            <v>27</v>
          </cell>
          <cell r="Y15">
            <v>26</v>
          </cell>
        </row>
        <row r="15">
          <cell r="AE15" t="str">
            <v>ALGERIALAKE CHARLES</v>
          </cell>
          <cell r="AF15">
            <v>427166.25</v>
          </cell>
          <cell r="AG15">
            <v>472606.997282609</v>
          </cell>
        </row>
        <row r="16">
          <cell r="A16" t="str">
            <v>ALGERIACABOT</v>
          </cell>
          <cell r="B16" t="str">
            <v>ALGERIA</v>
          </cell>
          <cell r="C16" t="str">
            <v>CABOT</v>
          </cell>
        </row>
        <row r="16">
          <cell r="E16">
            <v>3300</v>
          </cell>
        </row>
        <row r="16">
          <cell r="O16" t="str">
            <v>ALGERIACABOT</v>
          </cell>
          <cell r="P16">
            <v>10</v>
          </cell>
          <cell r="Q16">
            <v>10</v>
          </cell>
        </row>
        <row r="16">
          <cell r="W16" t="str">
            <v>ALGERIACABOT</v>
          </cell>
          <cell r="X16">
            <v>19</v>
          </cell>
          <cell r="Y16">
            <v>18</v>
          </cell>
        </row>
        <row r="16">
          <cell r="AE16" t="str">
            <v>ALGERIACABOT</v>
          </cell>
          <cell r="AF16">
            <v>289012.5</v>
          </cell>
          <cell r="AG16">
            <v>320463.994565217</v>
          </cell>
        </row>
        <row r="17">
          <cell r="A17" t="str">
            <v>ALGERIACOVE POINT</v>
          </cell>
          <cell r="B17" t="str">
            <v>ALGERIA</v>
          </cell>
          <cell r="C17" t="str">
            <v>COVE POINT</v>
          </cell>
        </row>
        <row r="17">
          <cell r="E17">
            <v>3742</v>
          </cell>
        </row>
        <row r="17">
          <cell r="O17" t="str">
            <v>ALGERIACOVE POINT</v>
          </cell>
          <cell r="P17">
            <v>11</v>
          </cell>
          <cell r="Q17">
            <v>11</v>
          </cell>
        </row>
        <row r="17">
          <cell r="W17" t="str">
            <v>ALGERIACOVE POINT</v>
          </cell>
          <cell r="X17">
            <v>21</v>
          </cell>
          <cell r="Y17">
            <v>20</v>
          </cell>
        </row>
        <row r="17">
          <cell r="AE17" t="str">
            <v>ALGERIACOVE POINT</v>
          </cell>
          <cell r="AF17">
            <v>325753.75</v>
          </cell>
          <cell r="AG17">
            <v>360925.611413044</v>
          </cell>
        </row>
        <row r="18">
          <cell r="A18" t="str">
            <v>ALGERIASPAIN</v>
          </cell>
          <cell r="B18" t="str">
            <v>ALGERIA</v>
          </cell>
          <cell r="C18" t="str">
            <v>SPAIN</v>
          </cell>
        </row>
        <row r="18">
          <cell r="E18">
            <v>343</v>
          </cell>
        </row>
        <row r="18">
          <cell r="O18" t="str">
            <v>ALGERIASPAIN</v>
          </cell>
          <cell r="P18">
            <v>3</v>
          </cell>
          <cell r="Q18">
            <v>3</v>
          </cell>
        </row>
        <row r="18">
          <cell r="W18" t="str">
            <v>ALGERIASPAIN</v>
          </cell>
          <cell r="X18">
            <v>5</v>
          </cell>
          <cell r="Y18">
            <v>5</v>
          </cell>
        </row>
        <row r="18">
          <cell r="AE18" t="str">
            <v>ALGERIASPAIN</v>
          </cell>
          <cell r="AF18">
            <v>43211.875</v>
          </cell>
          <cell r="AG18">
            <v>49773.9470108696</v>
          </cell>
        </row>
        <row r="19">
          <cell r="A19" t="str">
            <v>VENEZUELAELBA</v>
          </cell>
          <cell r="B19" t="str">
            <v>VENEZUELA</v>
          </cell>
          <cell r="C19" t="str">
            <v>ELBA</v>
          </cell>
        </row>
        <row r="19">
          <cell r="E19">
            <v>1774</v>
          </cell>
        </row>
        <row r="19">
          <cell r="O19" t="str">
            <v>VENEZUELAELBA</v>
          </cell>
          <cell r="P19">
            <v>7</v>
          </cell>
          <cell r="Q19">
            <v>7</v>
          </cell>
        </row>
        <row r="19">
          <cell r="W19" t="str">
            <v>VENEZUELAELBA</v>
          </cell>
          <cell r="X19">
            <v>12</v>
          </cell>
          <cell r="Y19">
            <v>12</v>
          </cell>
        </row>
        <row r="19">
          <cell r="AE19" t="str">
            <v>VENEZUELAELBA</v>
          </cell>
          <cell r="AF19">
            <v>162163.75</v>
          </cell>
          <cell r="AG19">
            <v>180770.720108696</v>
          </cell>
        </row>
        <row r="20">
          <cell r="A20" t="str">
            <v>VENEZUELALAKE CHARLES</v>
          </cell>
          <cell r="B20" t="str">
            <v>VENEZUELA</v>
          </cell>
          <cell r="C20" t="str">
            <v>LAKE CHARLES</v>
          </cell>
        </row>
        <row r="20">
          <cell r="E20">
            <v>2080</v>
          </cell>
        </row>
        <row r="20">
          <cell r="O20" t="str">
            <v>VENEZUELALAKE CHARLES</v>
          </cell>
          <cell r="P20">
            <v>7</v>
          </cell>
          <cell r="Q20">
            <v>7</v>
          </cell>
        </row>
        <row r="20">
          <cell r="W20" t="str">
            <v>VENEZUELALAKE CHARLES</v>
          </cell>
          <cell r="X20">
            <v>13</v>
          </cell>
          <cell r="Y20">
            <v>13</v>
          </cell>
        </row>
        <row r="20">
          <cell r="AE20" t="str">
            <v>VENEZUELALAKE CHARLES</v>
          </cell>
          <cell r="AF20">
            <v>187600</v>
          </cell>
          <cell r="AG20">
            <v>208782.608695652</v>
          </cell>
        </row>
        <row r="21">
          <cell r="A21" t="str">
            <v>VENEZUELACABOT</v>
          </cell>
          <cell r="B21" t="str">
            <v>VENEZUELA</v>
          </cell>
          <cell r="C21" t="str">
            <v>CABOT</v>
          </cell>
        </row>
        <row r="21">
          <cell r="E21">
            <v>2085</v>
          </cell>
        </row>
        <row r="21">
          <cell r="O21" t="str">
            <v>VENEZUELACABOT</v>
          </cell>
          <cell r="P21">
            <v>7</v>
          </cell>
          <cell r="Q21">
            <v>7</v>
          </cell>
        </row>
        <row r="21">
          <cell r="W21" t="str">
            <v>VENEZUELACABOT</v>
          </cell>
          <cell r="X21">
            <v>13</v>
          </cell>
          <cell r="Y21">
            <v>13</v>
          </cell>
        </row>
        <row r="21">
          <cell r="AE21" t="str">
            <v>VENEZUELACABOT</v>
          </cell>
          <cell r="AF21">
            <v>188015.625</v>
          </cell>
          <cell r="AG21">
            <v>209240.319293478</v>
          </cell>
        </row>
        <row r="22">
          <cell r="A22" t="str">
            <v>VENEZUELACOVE POINT</v>
          </cell>
          <cell r="B22" t="str">
            <v>VENEZUELA</v>
          </cell>
          <cell r="C22" t="str">
            <v>COVE POINT</v>
          </cell>
        </row>
        <row r="22">
          <cell r="E22">
            <v>2003</v>
          </cell>
        </row>
        <row r="22">
          <cell r="O22" t="str">
            <v>VENEZUELACOVE POINT</v>
          </cell>
          <cell r="P22">
            <v>7</v>
          </cell>
          <cell r="Q22">
            <v>7</v>
          </cell>
        </row>
        <row r="22">
          <cell r="W22" t="str">
            <v>VENEZUELACOVE POINT</v>
          </cell>
          <cell r="X22">
            <v>13</v>
          </cell>
          <cell r="Y22">
            <v>13</v>
          </cell>
        </row>
        <row r="22">
          <cell r="AE22" t="str">
            <v>VENEZUELACOVE POINT</v>
          </cell>
          <cell r="AF22">
            <v>181199.375</v>
          </cell>
          <cell r="AG22">
            <v>201733.86548913</v>
          </cell>
        </row>
        <row r="23">
          <cell r="A23" t="str">
            <v>VENEZUELAPUERTO RICO</v>
          </cell>
          <cell r="B23" t="str">
            <v>VENEZUELA</v>
          </cell>
          <cell r="C23" t="str">
            <v>PUERTO RICO</v>
          </cell>
        </row>
        <row r="23">
          <cell r="E23">
            <v>622</v>
          </cell>
        </row>
        <row r="23">
          <cell r="O23" t="str">
            <v>VENEZUELAPUERTO RICO</v>
          </cell>
          <cell r="P23">
            <v>4</v>
          </cell>
          <cell r="Q23">
            <v>4</v>
          </cell>
        </row>
        <row r="23">
          <cell r="W23" t="str">
            <v>VENEZUELAPUERTO RICO</v>
          </cell>
          <cell r="X23">
            <v>6</v>
          </cell>
          <cell r="Y23">
            <v>6</v>
          </cell>
        </row>
        <row r="23">
          <cell r="AE23" t="str">
            <v>VENEZUELAPUERTO RICO</v>
          </cell>
          <cell r="AF23">
            <v>66403.75</v>
          </cell>
          <cell r="AG23">
            <v>75314.1983695652</v>
          </cell>
        </row>
        <row r="24">
          <cell r="A24" t="str">
            <v>VENEZUELASPAIN</v>
          </cell>
          <cell r="B24" t="str">
            <v>VENEZUELA</v>
          </cell>
          <cell r="C24" t="str">
            <v>SPAIN</v>
          </cell>
        </row>
        <row r="24">
          <cell r="E24">
            <v>4010</v>
          </cell>
        </row>
        <row r="24">
          <cell r="O24" t="str">
            <v>VENEZUELASPAIN</v>
          </cell>
          <cell r="P24">
            <v>12</v>
          </cell>
          <cell r="Q24">
            <v>12</v>
          </cell>
        </row>
        <row r="24">
          <cell r="W24" t="str">
            <v>VENEZUELASPAIN</v>
          </cell>
          <cell r="X24">
            <v>23</v>
          </cell>
          <cell r="Y24">
            <v>22</v>
          </cell>
        </row>
        <row r="24">
          <cell r="AE24" t="str">
            <v>VENEZUELASPAIN</v>
          </cell>
          <cell r="AF24">
            <v>348031.25</v>
          </cell>
          <cell r="AG24">
            <v>385458.899456522</v>
          </cell>
        </row>
      </sheetData>
      <sheetData sheetId="4">
        <row r="5">
          <cell r="A5" t="str">
            <v>SHIP--------------------------&gt;</v>
          </cell>
        </row>
        <row r="5">
          <cell r="C5" t="str">
            <v>HG</v>
          </cell>
          <cell r="D5" t="str">
            <v>EXMAR</v>
          </cell>
        </row>
        <row r="6">
          <cell r="A6" t="str">
            <v>SPECS</v>
          </cell>
          <cell r="B6" t="str">
            <v>UOM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</row>
        <row r="7">
          <cell r="A7" t="str">
            <v>CAPACITY mmbtu</v>
          </cell>
          <cell r="B7" t="str">
            <v>MMBTU</v>
          </cell>
          <cell r="C7">
            <v>2041266.4</v>
          </cell>
          <cell r="D7">
            <v>3215400</v>
          </cell>
        </row>
        <row r="8">
          <cell r="A8" t="str">
            <v>CAPACITY m3</v>
          </cell>
          <cell r="B8" t="str">
            <v>M3</v>
          </cell>
          <cell r="C8">
            <v>87608</v>
          </cell>
          <cell r="D8">
            <v>138000</v>
          </cell>
        </row>
        <row r="9">
          <cell r="A9" t="str">
            <v>SPEED mph</v>
          </cell>
          <cell r="B9" t="str">
            <v>MPH</v>
          </cell>
          <cell r="C9">
            <v>17.5</v>
          </cell>
          <cell r="D9">
            <v>18.4</v>
          </cell>
        </row>
        <row r="10">
          <cell r="A10" t="str">
            <v>SPEED mpd</v>
          </cell>
          <cell r="B10" t="str">
            <v>MPD</v>
          </cell>
          <cell r="C10">
            <v>420</v>
          </cell>
          <cell r="D10">
            <v>441.6</v>
          </cell>
          <cell r="E10">
            <v>28.0285714285714</v>
          </cell>
          <cell r="F10">
            <v>30.0285714285714</v>
          </cell>
        </row>
        <row r="11">
          <cell r="A11" t="str">
            <v>BOILOFF-LADEN</v>
          </cell>
          <cell r="B11" t="str">
            <v>DAILY</v>
          </cell>
          <cell r="C11">
            <v>0.00275</v>
          </cell>
          <cell r="D11">
            <v>0.0015</v>
          </cell>
        </row>
        <row r="12">
          <cell r="A12" t="str">
            <v>BOILOFF-PORTDAY</v>
          </cell>
          <cell r="B12" t="str">
            <v>DAILY</v>
          </cell>
        </row>
        <row r="13">
          <cell r="A13" t="str">
            <v>LOADING</v>
          </cell>
          <cell r="B13" t="str">
            <v>DAYS</v>
          </cell>
          <cell r="C13">
            <v>1</v>
          </cell>
          <cell r="D13">
            <v>1</v>
          </cell>
        </row>
        <row r="14">
          <cell r="A14" t="str">
            <v>UNLOADING</v>
          </cell>
          <cell r="B14" t="str">
            <v>DAYS</v>
          </cell>
          <cell r="C14">
            <v>2</v>
          </cell>
          <cell r="D14">
            <v>2</v>
          </cell>
        </row>
        <row r="15">
          <cell r="A15" t="str">
            <v>SUEZ TRANSIT (RT)</v>
          </cell>
          <cell r="B15" t="str">
            <v>DAYS</v>
          </cell>
          <cell r="C15">
            <v>3</v>
          </cell>
          <cell r="D15">
            <v>3</v>
          </cell>
        </row>
        <row r="16">
          <cell r="A16" t="str">
            <v>BUNKERS-LOADED</v>
          </cell>
          <cell r="B16" t="str">
            <v>Tons/Day</v>
          </cell>
          <cell r="C16">
            <v>145</v>
          </cell>
          <cell r="D16">
            <v>170</v>
          </cell>
        </row>
        <row r="17">
          <cell r="A17" t="str">
            <v>BUNKERS-BALLAST</v>
          </cell>
          <cell r="B17" t="str">
            <v>Tons/Day</v>
          </cell>
          <cell r="C17">
            <v>140</v>
          </cell>
          <cell r="D17">
            <v>160</v>
          </cell>
        </row>
        <row r="18">
          <cell r="A18" t="str">
            <v>BUNKERS-PORT</v>
          </cell>
          <cell r="B18" t="str">
            <v>Tons/Day</v>
          </cell>
          <cell r="C18">
            <v>40</v>
          </cell>
          <cell r="D18">
            <v>50</v>
          </cell>
        </row>
        <row r="19">
          <cell r="A19" t="str">
            <v>BOILOFF AS FUEL</v>
          </cell>
          <cell r="B19" t="str">
            <v>YES/NO</v>
          </cell>
          <cell r="C19" t="str">
            <v>YES</v>
          </cell>
          <cell r="D19" t="str">
            <v>YES</v>
          </cell>
        </row>
        <row r="20">
          <cell r="A20" t="str">
            <v>BOILOFF TO BUNKER</v>
          </cell>
          <cell r="B20" t="str">
            <v>TONNE/M3</v>
          </cell>
          <cell r="C20">
            <v>0.53</v>
          </cell>
          <cell r="D20">
            <v>0.53</v>
          </cell>
        </row>
        <row r="21">
          <cell r="A21" t="str">
            <v>SHIP UTILIZATION</v>
          </cell>
          <cell r="B21" t="str">
            <v>RATE</v>
          </cell>
          <cell r="C21">
            <v>1</v>
          </cell>
          <cell r="D21">
            <v>1</v>
          </cell>
        </row>
        <row r="23">
          <cell r="A23" t="str">
            <v>CPI ESCALATION</v>
          </cell>
        </row>
        <row r="23">
          <cell r="C23">
            <v>0.025</v>
          </cell>
          <cell r="D23">
            <v>0.025</v>
          </cell>
          <cell r="E23">
            <v>0.025</v>
          </cell>
          <cell r="F23">
            <v>0.025</v>
          </cell>
          <cell r="G23">
            <v>0.025</v>
          </cell>
          <cell r="H23">
            <v>0.025</v>
          </cell>
        </row>
        <row r="24">
          <cell r="B24" t="str">
            <v>DAILY</v>
          </cell>
          <cell r="C24" t="str">
            <v>HG</v>
          </cell>
          <cell r="D24" t="str">
            <v>EXMAR</v>
          </cell>
        </row>
        <row r="25">
          <cell r="C25">
            <v>1</v>
          </cell>
          <cell r="D25">
            <v>2</v>
          </cell>
          <cell r="E25">
            <v>3</v>
          </cell>
          <cell r="F25">
            <v>4</v>
          </cell>
          <cell r="G25">
            <v>5</v>
          </cell>
          <cell r="H25">
            <v>6</v>
          </cell>
        </row>
        <row r="26">
          <cell r="B26">
            <v>36708</v>
          </cell>
          <cell r="C26">
            <v>0</v>
          </cell>
          <cell r="D26">
            <v>0</v>
          </cell>
        </row>
        <row r="27">
          <cell r="B27">
            <v>36739</v>
          </cell>
          <cell r="C27">
            <v>0</v>
          </cell>
          <cell r="D27">
            <v>0</v>
          </cell>
        </row>
        <row r="28">
          <cell r="B28">
            <v>36770</v>
          </cell>
          <cell r="C28">
            <v>0</v>
          </cell>
          <cell r="D28">
            <v>0</v>
          </cell>
        </row>
        <row r="29">
          <cell r="B29">
            <v>36800</v>
          </cell>
          <cell r="C29">
            <v>0</v>
          </cell>
          <cell r="D29">
            <v>0</v>
          </cell>
        </row>
        <row r="30">
          <cell r="B30">
            <v>36831</v>
          </cell>
          <cell r="C30">
            <v>9500</v>
          </cell>
          <cell r="D30">
            <v>0</v>
          </cell>
        </row>
        <row r="31">
          <cell r="B31">
            <v>36861</v>
          </cell>
          <cell r="C31">
            <v>9500</v>
          </cell>
          <cell r="D31">
            <v>0</v>
          </cell>
        </row>
        <row r="32">
          <cell r="B32">
            <v>36892</v>
          </cell>
          <cell r="C32">
            <v>9500</v>
          </cell>
          <cell r="D32">
            <v>0</v>
          </cell>
        </row>
        <row r="33">
          <cell r="B33">
            <v>36923</v>
          </cell>
          <cell r="C33">
            <v>9500</v>
          </cell>
          <cell r="D33">
            <v>0</v>
          </cell>
        </row>
        <row r="34">
          <cell r="B34">
            <v>36951</v>
          </cell>
          <cell r="C34">
            <v>9500</v>
          </cell>
          <cell r="D34">
            <v>0</v>
          </cell>
        </row>
        <row r="35">
          <cell r="B35">
            <v>36982</v>
          </cell>
          <cell r="C35">
            <v>9500</v>
          </cell>
          <cell r="D35">
            <v>0</v>
          </cell>
        </row>
        <row r="36">
          <cell r="B36">
            <v>37012</v>
          </cell>
          <cell r="C36">
            <v>9500</v>
          </cell>
          <cell r="D36">
            <v>0</v>
          </cell>
        </row>
        <row r="37">
          <cell r="B37">
            <v>37043</v>
          </cell>
          <cell r="C37">
            <v>9500</v>
          </cell>
          <cell r="D37">
            <v>0</v>
          </cell>
        </row>
        <row r="38">
          <cell r="B38">
            <v>37073</v>
          </cell>
          <cell r="C38">
            <v>9500</v>
          </cell>
          <cell r="D38">
            <v>0</v>
          </cell>
        </row>
        <row r="39">
          <cell r="B39">
            <v>37104</v>
          </cell>
          <cell r="C39">
            <v>9500</v>
          </cell>
          <cell r="D39">
            <v>0</v>
          </cell>
        </row>
        <row r="40">
          <cell r="B40">
            <v>37135</v>
          </cell>
          <cell r="C40">
            <v>9500</v>
          </cell>
          <cell r="D40">
            <v>0</v>
          </cell>
        </row>
        <row r="41">
          <cell r="B41">
            <v>37165</v>
          </cell>
          <cell r="C41">
            <v>9500</v>
          </cell>
          <cell r="D41">
            <v>0</v>
          </cell>
        </row>
        <row r="42">
          <cell r="B42">
            <v>37196</v>
          </cell>
          <cell r="C42">
            <v>9500</v>
          </cell>
          <cell r="D42">
            <v>0</v>
          </cell>
        </row>
        <row r="43">
          <cell r="B43">
            <v>37226</v>
          </cell>
          <cell r="C43">
            <v>9500</v>
          </cell>
          <cell r="D43">
            <v>0</v>
          </cell>
        </row>
        <row r="44">
          <cell r="B44">
            <v>37257</v>
          </cell>
          <cell r="C44">
            <v>9500</v>
          </cell>
          <cell r="D44">
            <v>0</v>
          </cell>
        </row>
        <row r="45">
          <cell r="B45">
            <v>37288</v>
          </cell>
          <cell r="C45">
            <v>9500</v>
          </cell>
          <cell r="D45">
            <v>0</v>
          </cell>
        </row>
        <row r="46">
          <cell r="B46">
            <v>37316</v>
          </cell>
          <cell r="C46">
            <v>9500</v>
          </cell>
          <cell r="D46">
            <v>0</v>
          </cell>
        </row>
        <row r="47">
          <cell r="B47">
            <v>37347</v>
          </cell>
          <cell r="C47">
            <v>9500</v>
          </cell>
          <cell r="D47">
            <v>0</v>
          </cell>
        </row>
        <row r="48">
          <cell r="B48">
            <v>37377</v>
          </cell>
          <cell r="C48">
            <v>9500</v>
          </cell>
          <cell r="D48">
            <v>0</v>
          </cell>
        </row>
        <row r="49">
          <cell r="B49">
            <v>37408</v>
          </cell>
          <cell r="C49">
            <v>9500</v>
          </cell>
          <cell r="D49">
            <v>0</v>
          </cell>
        </row>
        <row r="50">
          <cell r="B50">
            <v>37438</v>
          </cell>
          <cell r="C50">
            <v>9500</v>
          </cell>
          <cell r="D50">
            <v>0</v>
          </cell>
        </row>
        <row r="51">
          <cell r="B51">
            <v>37469</v>
          </cell>
          <cell r="C51">
            <v>9500</v>
          </cell>
          <cell r="D51">
            <v>0</v>
          </cell>
        </row>
        <row r="52">
          <cell r="B52">
            <v>37500</v>
          </cell>
          <cell r="C52">
            <v>9500</v>
          </cell>
          <cell r="D52">
            <v>0</v>
          </cell>
        </row>
        <row r="53">
          <cell r="B53">
            <v>37530</v>
          </cell>
          <cell r="C53">
            <v>9500</v>
          </cell>
          <cell r="D53">
            <v>0</v>
          </cell>
        </row>
        <row r="54">
          <cell r="B54">
            <v>37561</v>
          </cell>
          <cell r="C54">
            <v>9500</v>
          </cell>
          <cell r="D54">
            <v>0</v>
          </cell>
        </row>
        <row r="55">
          <cell r="B55">
            <v>37591</v>
          </cell>
          <cell r="C55">
            <v>9500</v>
          </cell>
          <cell r="D55">
            <v>0</v>
          </cell>
        </row>
        <row r="56">
          <cell r="B56">
            <v>37622</v>
          </cell>
          <cell r="C56">
            <v>16000</v>
          </cell>
          <cell r="D56">
            <v>51850</v>
          </cell>
        </row>
        <row r="57">
          <cell r="B57">
            <v>37653</v>
          </cell>
          <cell r="C57">
            <v>16000</v>
          </cell>
          <cell r="D57">
            <v>51850</v>
          </cell>
        </row>
        <row r="58">
          <cell r="B58">
            <v>37681</v>
          </cell>
          <cell r="C58">
            <v>16000</v>
          </cell>
          <cell r="D58">
            <v>51850</v>
          </cell>
        </row>
        <row r="59">
          <cell r="B59">
            <v>37712</v>
          </cell>
          <cell r="C59">
            <v>16000</v>
          </cell>
          <cell r="D59">
            <v>51850</v>
          </cell>
        </row>
        <row r="60">
          <cell r="B60">
            <v>37742</v>
          </cell>
          <cell r="C60">
            <v>16000</v>
          </cell>
          <cell r="D60">
            <v>51850</v>
          </cell>
        </row>
        <row r="61">
          <cell r="B61">
            <v>37773</v>
          </cell>
          <cell r="C61">
            <v>16000</v>
          </cell>
          <cell r="D61">
            <v>51850</v>
          </cell>
        </row>
        <row r="62">
          <cell r="B62">
            <v>37803</v>
          </cell>
          <cell r="C62">
            <v>16000</v>
          </cell>
          <cell r="D62">
            <v>51850</v>
          </cell>
        </row>
        <row r="63">
          <cell r="B63">
            <v>37834</v>
          </cell>
          <cell r="C63">
            <v>16000</v>
          </cell>
          <cell r="D63">
            <v>51850</v>
          </cell>
        </row>
        <row r="64">
          <cell r="B64">
            <v>37865</v>
          </cell>
          <cell r="C64">
            <v>16000</v>
          </cell>
          <cell r="D64">
            <v>51850</v>
          </cell>
        </row>
        <row r="65">
          <cell r="B65">
            <v>37895</v>
          </cell>
          <cell r="C65">
            <v>16000</v>
          </cell>
          <cell r="D65">
            <v>51850</v>
          </cell>
        </row>
        <row r="66">
          <cell r="B66">
            <v>37926</v>
          </cell>
          <cell r="C66">
            <v>16000</v>
          </cell>
          <cell r="D66">
            <v>51850</v>
          </cell>
        </row>
        <row r="67">
          <cell r="B67">
            <v>37956</v>
          </cell>
          <cell r="C67">
            <v>16000</v>
          </cell>
          <cell r="D67">
            <v>51850</v>
          </cell>
        </row>
        <row r="68">
          <cell r="B68">
            <v>37987</v>
          </cell>
          <cell r="C68">
            <v>16000</v>
          </cell>
          <cell r="D68">
            <v>51850</v>
          </cell>
        </row>
        <row r="69">
          <cell r="B69">
            <v>38018</v>
          </cell>
          <cell r="C69">
            <v>16000</v>
          </cell>
          <cell r="D69">
            <v>51850</v>
          </cell>
        </row>
        <row r="70">
          <cell r="B70">
            <v>38047</v>
          </cell>
          <cell r="C70">
            <v>16000</v>
          </cell>
          <cell r="D70">
            <v>51850</v>
          </cell>
        </row>
        <row r="71">
          <cell r="B71">
            <v>38078</v>
          </cell>
          <cell r="C71">
            <v>16000</v>
          </cell>
          <cell r="D71">
            <v>51850</v>
          </cell>
        </row>
        <row r="72">
          <cell r="B72">
            <v>38108</v>
          </cell>
          <cell r="C72">
            <v>16000</v>
          </cell>
          <cell r="D72">
            <v>51850</v>
          </cell>
        </row>
        <row r="73">
          <cell r="B73">
            <v>38139</v>
          </cell>
          <cell r="C73">
            <v>16000</v>
          </cell>
          <cell r="D73">
            <v>51850</v>
          </cell>
        </row>
        <row r="74">
          <cell r="B74">
            <v>38169</v>
          </cell>
          <cell r="C74">
            <v>16000</v>
          </cell>
          <cell r="D74">
            <v>51850</v>
          </cell>
        </row>
        <row r="75">
          <cell r="B75">
            <v>38200</v>
          </cell>
          <cell r="C75">
            <v>16000</v>
          </cell>
          <cell r="D75">
            <v>51850</v>
          </cell>
        </row>
        <row r="76">
          <cell r="B76">
            <v>38231</v>
          </cell>
          <cell r="C76">
            <v>16000</v>
          </cell>
          <cell r="D76">
            <v>51850</v>
          </cell>
        </row>
        <row r="77">
          <cell r="B77">
            <v>38261</v>
          </cell>
          <cell r="C77">
            <v>16000</v>
          </cell>
          <cell r="D77">
            <v>51850</v>
          </cell>
        </row>
        <row r="78">
          <cell r="B78">
            <v>38292</v>
          </cell>
          <cell r="C78">
            <v>16000</v>
          </cell>
          <cell r="D78">
            <v>51850</v>
          </cell>
        </row>
        <row r="79">
          <cell r="B79">
            <v>38322</v>
          </cell>
          <cell r="C79">
            <v>16000</v>
          </cell>
          <cell r="D79">
            <v>51850</v>
          </cell>
        </row>
        <row r="80">
          <cell r="B80">
            <v>38353</v>
          </cell>
          <cell r="C80">
            <v>16000</v>
          </cell>
          <cell r="D80">
            <v>51850</v>
          </cell>
        </row>
        <row r="81">
          <cell r="B81">
            <v>38384</v>
          </cell>
          <cell r="C81">
            <v>16000</v>
          </cell>
          <cell r="D81">
            <v>51850</v>
          </cell>
        </row>
        <row r="82">
          <cell r="B82">
            <v>38412</v>
          </cell>
          <cell r="C82">
            <v>16000</v>
          </cell>
          <cell r="D82">
            <v>51850</v>
          </cell>
        </row>
        <row r="83">
          <cell r="B83">
            <v>38443</v>
          </cell>
          <cell r="C83">
            <v>16000</v>
          </cell>
          <cell r="D83">
            <v>51850</v>
          </cell>
        </row>
        <row r="84">
          <cell r="B84">
            <v>38473</v>
          </cell>
          <cell r="C84">
            <v>16000</v>
          </cell>
          <cell r="D84">
            <v>51850</v>
          </cell>
        </row>
        <row r="85">
          <cell r="B85">
            <v>38504</v>
          </cell>
          <cell r="C85">
            <v>16000</v>
          </cell>
          <cell r="D85">
            <v>51850</v>
          </cell>
        </row>
        <row r="86">
          <cell r="B86">
            <v>38534</v>
          </cell>
          <cell r="C86">
            <v>16000</v>
          </cell>
          <cell r="D86">
            <v>51850</v>
          </cell>
        </row>
        <row r="87">
          <cell r="B87">
            <v>38565</v>
          </cell>
          <cell r="C87">
            <v>16000</v>
          </cell>
          <cell r="D87">
            <v>51850</v>
          </cell>
        </row>
        <row r="88">
          <cell r="B88">
            <v>38596</v>
          </cell>
          <cell r="C88">
            <v>16000</v>
          </cell>
          <cell r="D88">
            <v>51850</v>
          </cell>
        </row>
        <row r="89">
          <cell r="B89">
            <v>38626</v>
          </cell>
          <cell r="C89">
            <v>16000</v>
          </cell>
          <cell r="D89">
            <v>51850</v>
          </cell>
        </row>
        <row r="90">
          <cell r="B90">
            <v>38657</v>
          </cell>
          <cell r="C90">
            <v>16000</v>
          </cell>
          <cell r="D90">
            <v>51850</v>
          </cell>
        </row>
        <row r="91">
          <cell r="B91">
            <v>38687</v>
          </cell>
          <cell r="C91">
            <v>16000</v>
          </cell>
          <cell r="D91">
            <v>51850</v>
          </cell>
        </row>
        <row r="92">
          <cell r="B92">
            <v>38718</v>
          </cell>
          <cell r="C92">
            <v>16000</v>
          </cell>
          <cell r="D92">
            <v>51850</v>
          </cell>
        </row>
        <row r="93">
          <cell r="B93">
            <v>38749</v>
          </cell>
          <cell r="C93">
            <v>16000</v>
          </cell>
          <cell r="D93">
            <v>51850</v>
          </cell>
        </row>
        <row r="94">
          <cell r="B94">
            <v>38777</v>
          </cell>
          <cell r="C94">
            <v>16000</v>
          </cell>
          <cell r="D94">
            <v>51850</v>
          </cell>
        </row>
        <row r="95">
          <cell r="B95">
            <v>38808</v>
          </cell>
          <cell r="C95">
            <v>16000</v>
          </cell>
          <cell r="D95">
            <v>51850</v>
          </cell>
        </row>
        <row r="96">
          <cell r="B96">
            <v>38838</v>
          </cell>
          <cell r="C96">
            <v>16000</v>
          </cell>
          <cell r="D96">
            <v>51850</v>
          </cell>
        </row>
        <row r="97">
          <cell r="B97">
            <v>38869</v>
          </cell>
          <cell r="C97">
            <v>16000</v>
          </cell>
          <cell r="D97">
            <v>51850</v>
          </cell>
        </row>
        <row r="98">
          <cell r="B98">
            <v>38899</v>
          </cell>
          <cell r="C98">
            <v>16000</v>
          </cell>
          <cell r="D98">
            <v>51850</v>
          </cell>
        </row>
        <row r="99">
          <cell r="B99">
            <v>38930</v>
          </cell>
          <cell r="C99">
            <v>16000</v>
          </cell>
          <cell r="D99">
            <v>51850</v>
          </cell>
        </row>
        <row r="100">
          <cell r="B100">
            <v>38961</v>
          </cell>
          <cell r="C100">
            <v>16000</v>
          </cell>
          <cell r="D100">
            <v>51850</v>
          </cell>
        </row>
        <row r="101">
          <cell r="B101">
            <v>38991</v>
          </cell>
          <cell r="C101">
            <v>16000</v>
          </cell>
          <cell r="D101">
            <v>51850</v>
          </cell>
        </row>
        <row r="102">
          <cell r="B102">
            <v>39022</v>
          </cell>
          <cell r="C102">
            <v>16000</v>
          </cell>
          <cell r="D102">
            <v>51850</v>
          </cell>
        </row>
        <row r="103">
          <cell r="B103">
            <v>39052</v>
          </cell>
          <cell r="C103">
            <v>16000</v>
          </cell>
          <cell r="D103">
            <v>51850</v>
          </cell>
        </row>
        <row r="104">
          <cell r="B104">
            <v>39083</v>
          </cell>
          <cell r="C104">
            <v>16000</v>
          </cell>
          <cell r="D104">
            <v>51850</v>
          </cell>
        </row>
        <row r="105">
          <cell r="B105">
            <v>39114</v>
          </cell>
          <cell r="C105">
            <v>16000</v>
          </cell>
          <cell r="D105">
            <v>51850</v>
          </cell>
        </row>
        <row r="106">
          <cell r="B106">
            <v>39142</v>
          </cell>
          <cell r="C106">
            <v>16000</v>
          </cell>
          <cell r="D106">
            <v>51850</v>
          </cell>
        </row>
        <row r="107">
          <cell r="B107">
            <v>39173</v>
          </cell>
          <cell r="C107">
            <v>16000</v>
          </cell>
          <cell r="D107">
            <v>51850</v>
          </cell>
        </row>
        <row r="108">
          <cell r="B108">
            <v>39203</v>
          </cell>
          <cell r="C108">
            <v>16000</v>
          </cell>
          <cell r="D108">
            <v>51850</v>
          </cell>
        </row>
        <row r="109">
          <cell r="B109">
            <v>39234</v>
          </cell>
          <cell r="C109">
            <v>16000</v>
          </cell>
          <cell r="D109">
            <v>51850</v>
          </cell>
        </row>
        <row r="110">
          <cell r="B110">
            <v>39264</v>
          </cell>
          <cell r="C110">
            <v>16000</v>
          </cell>
          <cell r="D110">
            <v>51850</v>
          </cell>
        </row>
        <row r="111">
          <cell r="B111">
            <v>39295</v>
          </cell>
          <cell r="C111">
            <v>16000</v>
          </cell>
          <cell r="D111">
            <v>51850</v>
          </cell>
        </row>
        <row r="112">
          <cell r="B112">
            <v>39326</v>
          </cell>
          <cell r="C112">
            <v>16000</v>
          </cell>
          <cell r="D112">
            <v>51850</v>
          </cell>
        </row>
        <row r="113">
          <cell r="B113">
            <v>39356</v>
          </cell>
          <cell r="C113">
            <v>16000</v>
          </cell>
          <cell r="D113">
            <v>51850</v>
          </cell>
        </row>
        <row r="114">
          <cell r="B114">
            <v>39387</v>
          </cell>
          <cell r="C114">
            <v>16000</v>
          </cell>
          <cell r="D114">
            <v>51850</v>
          </cell>
        </row>
        <row r="115">
          <cell r="B115">
            <v>39417</v>
          </cell>
          <cell r="C115">
            <v>16000</v>
          </cell>
          <cell r="D115">
            <v>51850</v>
          </cell>
        </row>
        <row r="116">
          <cell r="B116">
            <v>39448</v>
          </cell>
          <cell r="C116">
            <v>16000</v>
          </cell>
          <cell r="D116">
            <v>51850</v>
          </cell>
        </row>
        <row r="117">
          <cell r="B117">
            <v>39479</v>
          </cell>
          <cell r="C117">
            <v>16000</v>
          </cell>
          <cell r="D117">
            <v>51850</v>
          </cell>
        </row>
        <row r="118">
          <cell r="B118">
            <v>39508</v>
          </cell>
          <cell r="C118">
            <v>16000</v>
          </cell>
          <cell r="D118">
            <v>51850</v>
          </cell>
        </row>
        <row r="119">
          <cell r="B119">
            <v>39539</v>
          </cell>
          <cell r="C119">
            <v>16000</v>
          </cell>
          <cell r="D119">
            <v>51850</v>
          </cell>
        </row>
        <row r="120">
          <cell r="B120">
            <v>39569</v>
          </cell>
          <cell r="C120">
            <v>16000</v>
          </cell>
          <cell r="D120">
            <v>51850</v>
          </cell>
        </row>
        <row r="121">
          <cell r="B121">
            <v>39600</v>
          </cell>
          <cell r="C121">
            <v>16000</v>
          </cell>
          <cell r="D121">
            <v>51850</v>
          </cell>
        </row>
        <row r="122">
          <cell r="B122">
            <v>39630</v>
          </cell>
          <cell r="C122">
            <v>16000</v>
          </cell>
          <cell r="D122">
            <v>51850</v>
          </cell>
        </row>
        <row r="123">
          <cell r="B123">
            <v>39661</v>
          </cell>
          <cell r="C123">
            <v>16000</v>
          </cell>
          <cell r="D123">
            <v>51850</v>
          </cell>
        </row>
        <row r="124">
          <cell r="B124">
            <v>39692</v>
          </cell>
          <cell r="C124">
            <v>16000</v>
          </cell>
          <cell r="D124">
            <v>51850</v>
          </cell>
        </row>
        <row r="125">
          <cell r="B125">
            <v>39722</v>
          </cell>
          <cell r="C125">
            <v>16000</v>
          </cell>
          <cell r="D125">
            <v>51850</v>
          </cell>
        </row>
        <row r="126">
          <cell r="B126">
            <v>39753</v>
          </cell>
          <cell r="C126">
            <v>16000</v>
          </cell>
          <cell r="D126">
            <v>51850</v>
          </cell>
        </row>
        <row r="127">
          <cell r="B127">
            <v>39783</v>
          </cell>
          <cell r="C127">
            <v>16000</v>
          </cell>
          <cell r="D127">
            <v>51850</v>
          </cell>
        </row>
        <row r="128">
          <cell r="B128">
            <v>39814</v>
          </cell>
          <cell r="C128">
            <v>16000</v>
          </cell>
          <cell r="D128">
            <v>51850</v>
          </cell>
        </row>
        <row r="129">
          <cell r="B129">
            <v>39845</v>
          </cell>
          <cell r="C129">
            <v>16000</v>
          </cell>
          <cell r="D129">
            <v>51850</v>
          </cell>
        </row>
        <row r="130">
          <cell r="B130">
            <v>39873</v>
          </cell>
          <cell r="C130">
            <v>16000</v>
          </cell>
          <cell r="D130">
            <v>51850</v>
          </cell>
        </row>
        <row r="131">
          <cell r="B131">
            <v>39904</v>
          </cell>
          <cell r="C131">
            <v>16000</v>
          </cell>
          <cell r="D131">
            <v>51850</v>
          </cell>
        </row>
        <row r="132">
          <cell r="B132">
            <v>39934</v>
          </cell>
          <cell r="C132">
            <v>16000</v>
          </cell>
          <cell r="D132">
            <v>51850</v>
          </cell>
        </row>
        <row r="133">
          <cell r="B133">
            <v>39965</v>
          </cell>
          <cell r="C133">
            <v>16000</v>
          </cell>
          <cell r="D133">
            <v>51850</v>
          </cell>
        </row>
        <row r="134">
          <cell r="B134">
            <v>39995</v>
          </cell>
          <cell r="C134">
            <v>16000</v>
          </cell>
          <cell r="D134">
            <v>51850</v>
          </cell>
        </row>
        <row r="135">
          <cell r="B135">
            <v>40026</v>
          </cell>
          <cell r="C135">
            <v>16000</v>
          </cell>
          <cell r="D135">
            <v>51850</v>
          </cell>
        </row>
        <row r="136">
          <cell r="B136">
            <v>40057</v>
          </cell>
          <cell r="C136">
            <v>16000</v>
          </cell>
          <cell r="D136">
            <v>51850</v>
          </cell>
        </row>
        <row r="137">
          <cell r="B137">
            <v>40087</v>
          </cell>
          <cell r="C137">
            <v>16000</v>
          </cell>
          <cell r="D137">
            <v>51850</v>
          </cell>
        </row>
        <row r="138">
          <cell r="B138">
            <v>40118</v>
          </cell>
          <cell r="C138">
            <v>16000</v>
          </cell>
          <cell r="D138">
            <v>51850</v>
          </cell>
        </row>
        <row r="139">
          <cell r="B139">
            <v>40148</v>
          </cell>
          <cell r="C139">
            <v>16000</v>
          </cell>
          <cell r="D139">
            <v>51850</v>
          </cell>
        </row>
        <row r="140">
          <cell r="B140">
            <v>40179</v>
          </cell>
          <cell r="C140">
            <v>16000</v>
          </cell>
          <cell r="D140">
            <v>51850</v>
          </cell>
        </row>
        <row r="141">
          <cell r="B141">
            <v>40210</v>
          </cell>
          <cell r="C141">
            <v>16000</v>
          </cell>
          <cell r="D141">
            <v>51850</v>
          </cell>
        </row>
        <row r="142">
          <cell r="B142">
            <v>40238</v>
          </cell>
          <cell r="C142">
            <v>16000</v>
          </cell>
          <cell r="D142">
            <v>51850</v>
          </cell>
        </row>
        <row r="143">
          <cell r="B143">
            <v>40269</v>
          </cell>
          <cell r="C143">
            <v>16000</v>
          </cell>
          <cell r="D143">
            <v>51850</v>
          </cell>
        </row>
        <row r="144">
          <cell r="B144">
            <v>40299</v>
          </cell>
          <cell r="C144">
            <v>16000</v>
          </cell>
          <cell r="D144">
            <v>51850</v>
          </cell>
        </row>
        <row r="145">
          <cell r="B145">
            <v>40330</v>
          </cell>
          <cell r="C145">
            <v>16000</v>
          </cell>
          <cell r="D145">
            <v>51850</v>
          </cell>
        </row>
        <row r="146">
          <cell r="B146">
            <v>40360</v>
          </cell>
          <cell r="C146">
            <v>16000</v>
          </cell>
          <cell r="D146">
            <v>51850</v>
          </cell>
        </row>
        <row r="147">
          <cell r="B147">
            <v>40391</v>
          </cell>
          <cell r="C147">
            <v>16000</v>
          </cell>
          <cell r="D147">
            <v>51850</v>
          </cell>
        </row>
        <row r="148">
          <cell r="B148">
            <v>40422</v>
          </cell>
          <cell r="C148">
            <v>16000</v>
          </cell>
          <cell r="D148">
            <v>51850</v>
          </cell>
        </row>
        <row r="149">
          <cell r="B149">
            <v>40452</v>
          </cell>
          <cell r="C149">
            <v>16000</v>
          </cell>
          <cell r="D149">
            <v>51850</v>
          </cell>
        </row>
        <row r="150">
          <cell r="B150">
            <v>40483</v>
          </cell>
          <cell r="C150">
            <v>16000</v>
          </cell>
          <cell r="D150">
            <v>51850</v>
          </cell>
        </row>
        <row r="151">
          <cell r="B151">
            <v>40513</v>
          </cell>
          <cell r="C151">
            <v>16000</v>
          </cell>
          <cell r="D151">
            <v>51850</v>
          </cell>
        </row>
        <row r="152">
          <cell r="B152">
            <v>40544</v>
          </cell>
          <cell r="C152">
            <v>16000</v>
          </cell>
          <cell r="D152">
            <v>51850</v>
          </cell>
        </row>
        <row r="153">
          <cell r="B153">
            <v>40575</v>
          </cell>
          <cell r="C153">
            <v>16000</v>
          </cell>
          <cell r="D153">
            <v>51850</v>
          </cell>
        </row>
        <row r="154">
          <cell r="B154">
            <v>40603</v>
          </cell>
          <cell r="C154">
            <v>16000</v>
          </cell>
          <cell r="D154">
            <v>51850</v>
          </cell>
        </row>
        <row r="155">
          <cell r="B155">
            <v>40634</v>
          </cell>
          <cell r="C155">
            <v>16000</v>
          </cell>
          <cell r="D155">
            <v>51850</v>
          </cell>
        </row>
        <row r="156">
          <cell r="B156">
            <v>40664</v>
          </cell>
          <cell r="C156">
            <v>16000</v>
          </cell>
          <cell r="D156">
            <v>51850</v>
          </cell>
        </row>
        <row r="157">
          <cell r="B157">
            <v>40695</v>
          </cell>
          <cell r="C157">
            <v>16000</v>
          </cell>
          <cell r="D157">
            <v>51850</v>
          </cell>
        </row>
        <row r="158">
          <cell r="B158">
            <v>40725</v>
          </cell>
          <cell r="C158">
            <v>16000</v>
          </cell>
          <cell r="D158">
            <v>51850</v>
          </cell>
        </row>
        <row r="159">
          <cell r="B159">
            <v>40756</v>
          </cell>
          <cell r="C159">
            <v>16000</v>
          </cell>
          <cell r="D159">
            <v>51850</v>
          </cell>
        </row>
        <row r="160">
          <cell r="B160">
            <v>40787</v>
          </cell>
          <cell r="C160">
            <v>16000</v>
          </cell>
          <cell r="D160">
            <v>51850</v>
          </cell>
        </row>
        <row r="161">
          <cell r="B161">
            <v>40817</v>
          </cell>
          <cell r="C161">
            <v>16000</v>
          </cell>
          <cell r="D161">
            <v>51850</v>
          </cell>
        </row>
        <row r="162">
          <cell r="B162">
            <v>40848</v>
          </cell>
          <cell r="C162">
            <v>16000</v>
          </cell>
          <cell r="D162">
            <v>51850</v>
          </cell>
        </row>
        <row r="163">
          <cell r="B163">
            <v>40878</v>
          </cell>
          <cell r="C163">
            <v>16000</v>
          </cell>
          <cell r="D163">
            <v>51850</v>
          </cell>
        </row>
        <row r="164">
          <cell r="B164">
            <v>40909</v>
          </cell>
          <cell r="C164">
            <v>16000</v>
          </cell>
          <cell r="D164">
            <v>51850</v>
          </cell>
        </row>
        <row r="165">
          <cell r="B165">
            <v>40940</v>
          </cell>
          <cell r="C165">
            <v>16000</v>
          </cell>
          <cell r="D165">
            <v>51850</v>
          </cell>
        </row>
        <row r="166">
          <cell r="B166">
            <v>40969</v>
          </cell>
          <cell r="C166">
            <v>16000</v>
          </cell>
          <cell r="D166">
            <v>51850</v>
          </cell>
        </row>
        <row r="167">
          <cell r="B167">
            <v>41000</v>
          </cell>
          <cell r="C167">
            <v>16000</v>
          </cell>
          <cell r="D167">
            <v>51850</v>
          </cell>
        </row>
        <row r="168">
          <cell r="B168">
            <v>41030</v>
          </cell>
          <cell r="C168">
            <v>16000</v>
          </cell>
          <cell r="D168">
            <v>51850</v>
          </cell>
        </row>
        <row r="169">
          <cell r="B169">
            <v>41061</v>
          </cell>
          <cell r="C169">
            <v>16000</v>
          </cell>
          <cell r="D169">
            <v>51850</v>
          </cell>
        </row>
        <row r="170">
          <cell r="B170">
            <v>41091</v>
          </cell>
          <cell r="C170">
            <v>16000</v>
          </cell>
          <cell r="D170">
            <v>51850</v>
          </cell>
        </row>
        <row r="171">
          <cell r="B171">
            <v>41122</v>
          </cell>
          <cell r="C171">
            <v>16000</v>
          </cell>
          <cell r="D171">
            <v>51850</v>
          </cell>
        </row>
        <row r="172">
          <cell r="B172">
            <v>41153</v>
          </cell>
          <cell r="C172">
            <v>16000</v>
          </cell>
          <cell r="D172">
            <v>51850</v>
          </cell>
        </row>
        <row r="173">
          <cell r="B173">
            <v>41183</v>
          </cell>
          <cell r="C173">
            <v>16000</v>
          </cell>
          <cell r="D173">
            <v>51850</v>
          </cell>
        </row>
        <row r="174">
          <cell r="B174">
            <v>41214</v>
          </cell>
          <cell r="C174">
            <v>16000</v>
          </cell>
          <cell r="D174">
            <v>51850</v>
          </cell>
        </row>
        <row r="175">
          <cell r="B175">
            <v>41244</v>
          </cell>
          <cell r="C175">
            <v>16000</v>
          </cell>
          <cell r="D175">
            <v>51850</v>
          </cell>
        </row>
        <row r="176">
          <cell r="B176">
            <v>41275</v>
          </cell>
          <cell r="C176">
            <v>16000</v>
          </cell>
          <cell r="D176">
            <v>51850</v>
          </cell>
        </row>
        <row r="177">
          <cell r="B177">
            <v>41306</v>
          </cell>
          <cell r="C177">
            <v>16000</v>
          </cell>
          <cell r="D177">
            <v>51850</v>
          </cell>
        </row>
        <row r="178">
          <cell r="B178">
            <v>41334</v>
          </cell>
          <cell r="C178">
            <v>16000</v>
          </cell>
          <cell r="D178">
            <v>51850</v>
          </cell>
        </row>
        <row r="179">
          <cell r="B179">
            <v>41365</v>
          </cell>
          <cell r="C179">
            <v>16000</v>
          </cell>
          <cell r="D179">
            <v>51850</v>
          </cell>
        </row>
        <row r="180">
          <cell r="B180">
            <v>41395</v>
          </cell>
          <cell r="C180">
            <v>16000</v>
          </cell>
          <cell r="D180">
            <v>51850</v>
          </cell>
        </row>
        <row r="181">
          <cell r="B181">
            <v>41426</v>
          </cell>
          <cell r="C181">
            <v>16000</v>
          </cell>
          <cell r="D181">
            <v>51850</v>
          </cell>
        </row>
        <row r="182">
          <cell r="B182">
            <v>41456</v>
          </cell>
          <cell r="C182">
            <v>16000</v>
          </cell>
          <cell r="D182">
            <v>51850</v>
          </cell>
        </row>
        <row r="183">
          <cell r="B183">
            <v>41487</v>
          </cell>
          <cell r="C183">
            <v>16000</v>
          </cell>
          <cell r="D183">
            <v>51850</v>
          </cell>
        </row>
        <row r="184">
          <cell r="B184">
            <v>41518</v>
          </cell>
          <cell r="C184">
            <v>16000</v>
          </cell>
          <cell r="D184">
            <v>51850</v>
          </cell>
        </row>
        <row r="185">
          <cell r="B185">
            <v>41548</v>
          </cell>
          <cell r="C185">
            <v>16000</v>
          </cell>
          <cell r="D185">
            <v>51850</v>
          </cell>
        </row>
        <row r="186">
          <cell r="B186">
            <v>41579</v>
          </cell>
          <cell r="C186">
            <v>16000</v>
          </cell>
          <cell r="D186">
            <v>51850</v>
          </cell>
        </row>
        <row r="187">
          <cell r="B187">
            <v>41609</v>
          </cell>
          <cell r="C187">
            <v>16000</v>
          </cell>
          <cell r="D187">
            <v>51850</v>
          </cell>
        </row>
        <row r="188">
          <cell r="B188">
            <v>41640</v>
          </cell>
          <cell r="C188">
            <v>16000</v>
          </cell>
          <cell r="D188">
            <v>51850</v>
          </cell>
        </row>
        <row r="189">
          <cell r="B189">
            <v>41671</v>
          </cell>
          <cell r="C189">
            <v>16000</v>
          </cell>
          <cell r="D189">
            <v>51850</v>
          </cell>
        </row>
        <row r="190">
          <cell r="B190">
            <v>41699</v>
          </cell>
          <cell r="C190">
            <v>16000</v>
          </cell>
          <cell r="D190">
            <v>51850</v>
          </cell>
        </row>
        <row r="191">
          <cell r="B191">
            <v>41730</v>
          </cell>
          <cell r="C191">
            <v>16000</v>
          </cell>
          <cell r="D191">
            <v>51850</v>
          </cell>
        </row>
        <row r="192">
          <cell r="B192">
            <v>41760</v>
          </cell>
          <cell r="C192">
            <v>16000</v>
          </cell>
          <cell r="D192">
            <v>51850</v>
          </cell>
        </row>
        <row r="193">
          <cell r="B193">
            <v>41791</v>
          </cell>
          <cell r="C193">
            <v>16000</v>
          </cell>
          <cell r="D193">
            <v>51850</v>
          </cell>
        </row>
        <row r="194">
          <cell r="B194">
            <v>41821</v>
          </cell>
          <cell r="C194">
            <v>16000</v>
          </cell>
          <cell r="D194">
            <v>51850</v>
          </cell>
        </row>
        <row r="195">
          <cell r="B195">
            <v>41852</v>
          </cell>
          <cell r="C195">
            <v>16000</v>
          </cell>
          <cell r="D195">
            <v>51850</v>
          </cell>
        </row>
        <row r="196">
          <cell r="B196">
            <v>41883</v>
          </cell>
          <cell r="C196">
            <v>16000</v>
          </cell>
          <cell r="D196">
            <v>51850</v>
          </cell>
        </row>
        <row r="197">
          <cell r="B197">
            <v>41913</v>
          </cell>
          <cell r="C197">
            <v>16000</v>
          </cell>
          <cell r="D197">
            <v>51850</v>
          </cell>
        </row>
        <row r="198">
          <cell r="B198">
            <v>41944</v>
          </cell>
          <cell r="C198">
            <v>16000</v>
          </cell>
          <cell r="D198">
            <v>51850</v>
          </cell>
        </row>
        <row r="199">
          <cell r="B199">
            <v>41974</v>
          </cell>
          <cell r="C199">
            <v>16000</v>
          </cell>
          <cell r="D199">
            <v>51850</v>
          </cell>
        </row>
        <row r="200">
          <cell r="B200">
            <v>42005</v>
          </cell>
          <cell r="C200">
            <v>16000</v>
          </cell>
          <cell r="D200">
            <v>51850</v>
          </cell>
        </row>
        <row r="201">
          <cell r="B201">
            <v>42036</v>
          </cell>
          <cell r="C201">
            <v>16000</v>
          </cell>
          <cell r="D201">
            <v>51850</v>
          </cell>
        </row>
        <row r="202">
          <cell r="B202">
            <v>42064</v>
          </cell>
          <cell r="C202">
            <v>16000</v>
          </cell>
          <cell r="D202">
            <v>51850</v>
          </cell>
        </row>
        <row r="203">
          <cell r="B203">
            <v>42095</v>
          </cell>
          <cell r="C203">
            <v>16000</v>
          </cell>
          <cell r="D203">
            <v>51850</v>
          </cell>
        </row>
        <row r="204">
          <cell r="B204">
            <v>42125</v>
          </cell>
          <cell r="C204">
            <v>16000</v>
          </cell>
          <cell r="D204">
            <v>51850</v>
          </cell>
        </row>
        <row r="205">
          <cell r="B205">
            <v>42156</v>
          </cell>
          <cell r="C205">
            <v>16000</v>
          </cell>
          <cell r="D205">
            <v>51850</v>
          </cell>
        </row>
        <row r="206">
          <cell r="B206">
            <v>42186</v>
          </cell>
          <cell r="C206">
            <v>16000</v>
          </cell>
          <cell r="D206">
            <v>51850</v>
          </cell>
        </row>
        <row r="207">
          <cell r="B207">
            <v>42217</v>
          </cell>
          <cell r="C207">
            <v>16000</v>
          </cell>
          <cell r="D207">
            <v>51850</v>
          </cell>
        </row>
        <row r="208">
          <cell r="B208">
            <v>42248</v>
          </cell>
          <cell r="C208">
            <v>16000</v>
          </cell>
          <cell r="D208">
            <v>51850</v>
          </cell>
        </row>
        <row r="209">
          <cell r="B209">
            <v>42278</v>
          </cell>
          <cell r="C209">
            <v>16000</v>
          </cell>
          <cell r="D209">
            <v>51850</v>
          </cell>
        </row>
        <row r="210">
          <cell r="B210">
            <v>42309</v>
          </cell>
          <cell r="C210">
            <v>16000</v>
          </cell>
          <cell r="D210">
            <v>51850</v>
          </cell>
        </row>
        <row r="211">
          <cell r="B211">
            <v>42339</v>
          </cell>
          <cell r="C211">
            <v>16000</v>
          </cell>
          <cell r="D211">
            <v>51850</v>
          </cell>
        </row>
        <row r="212">
          <cell r="B212">
            <v>42370</v>
          </cell>
          <cell r="C212">
            <v>16000</v>
          </cell>
          <cell r="D212">
            <v>51850</v>
          </cell>
        </row>
        <row r="213">
          <cell r="B213">
            <v>42401</v>
          </cell>
          <cell r="C213">
            <v>16000</v>
          </cell>
          <cell r="D213">
            <v>51850</v>
          </cell>
        </row>
        <row r="214">
          <cell r="B214">
            <v>42430</v>
          </cell>
          <cell r="C214">
            <v>16000</v>
          </cell>
          <cell r="D214">
            <v>51850</v>
          </cell>
        </row>
        <row r="215">
          <cell r="B215">
            <v>42461</v>
          </cell>
          <cell r="C215">
            <v>16000</v>
          </cell>
          <cell r="D215">
            <v>51850</v>
          </cell>
        </row>
        <row r="216">
          <cell r="B216">
            <v>42491</v>
          </cell>
          <cell r="C216">
            <v>16000</v>
          </cell>
          <cell r="D216">
            <v>51850</v>
          </cell>
        </row>
        <row r="217">
          <cell r="B217">
            <v>42522</v>
          </cell>
          <cell r="C217">
            <v>16000</v>
          </cell>
          <cell r="D217">
            <v>51850</v>
          </cell>
        </row>
        <row r="218">
          <cell r="B218">
            <v>42552</v>
          </cell>
          <cell r="C218">
            <v>16000</v>
          </cell>
          <cell r="D218">
            <v>51850</v>
          </cell>
        </row>
        <row r="219">
          <cell r="B219">
            <v>42583</v>
          </cell>
          <cell r="C219">
            <v>16000</v>
          </cell>
          <cell r="D219">
            <v>51850</v>
          </cell>
        </row>
        <row r="220">
          <cell r="B220">
            <v>42614</v>
          </cell>
          <cell r="C220">
            <v>16000</v>
          </cell>
          <cell r="D220">
            <v>51850</v>
          </cell>
        </row>
        <row r="221">
          <cell r="B221">
            <v>42644</v>
          </cell>
          <cell r="C221">
            <v>16000</v>
          </cell>
          <cell r="D221">
            <v>51850</v>
          </cell>
        </row>
        <row r="222">
          <cell r="B222">
            <v>42675</v>
          </cell>
          <cell r="C222">
            <v>16000</v>
          </cell>
          <cell r="D222">
            <v>51850</v>
          </cell>
        </row>
        <row r="223">
          <cell r="B223">
            <v>42705</v>
          </cell>
          <cell r="C223">
            <v>16000</v>
          </cell>
          <cell r="D223">
            <v>51850</v>
          </cell>
        </row>
        <row r="224">
          <cell r="B224">
            <v>42736</v>
          </cell>
          <cell r="C224">
            <v>16000</v>
          </cell>
          <cell r="D224">
            <v>51850</v>
          </cell>
        </row>
        <row r="225">
          <cell r="B225">
            <v>42767</v>
          </cell>
          <cell r="C225">
            <v>16000</v>
          </cell>
          <cell r="D225">
            <v>51850</v>
          </cell>
        </row>
        <row r="226">
          <cell r="B226">
            <v>42795</v>
          </cell>
          <cell r="C226">
            <v>16000</v>
          </cell>
          <cell r="D226">
            <v>51850</v>
          </cell>
        </row>
        <row r="227">
          <cell r="B227">
            <v>42826</v>
          </cell>
          <cell r="C227">
            <v>16000</v>
          </cell>
          <cell r="D227">
            <v>51850</v>
          </cell>
        </row>
        <row r="228">
          <cell r="B228">
            <v>42856</v>
          </cell>
          <cell r="C228">
            <v>16000</v>
          </cell>
          <cell r="D228">
            <v>51850</v>
          </cell>
        </row>
        <row r="229">
          <cell r="B229">
            <v>42887</v>
          </cell>
          <cell r="C229">
            <v>16000</v>
          </cell>
          <cell r="D229">
            <v>51850</v>
          </cell>
        </row>
        <row r="230">
          <cell r="B230">
            <v>42917</v>
          </cell>
          <cell r="C230">
            <v>16000</v>
          </cell>
          <cell r="D230">
            <v>51850</v>
          </cell>
        </row>
        <row r="231">
          <cell r="B231">
            <v>42948</v>
          </cell>
          <cell r="C231">
            <v>16000</v>
          </cell>
          <cell r="D231">
            <v>51850</v>
          </cell>
        </row>
        <row r="232">
          <cell r="B232">
            <v>42979</v>
          </cell>
          <cell r="C232">
            <v>16000</v>
          </cell>
          <cell r="D232">
            <v>51850</v>
          </cell>
        </row>
        <row r="233">
          <cell r="B233">
            <v>43009</v>
          </cell>
          <cell r="C233">
            <v>16000</v>
          </cell>
          <cell r="D233">
            <v>51850</v>
          </cell>
        </row>
        <row r="234">
          <cell r="B234">
            <v>43040</v>
          </cell>
          <cell r="C234">
            <v>16000</v>
          </cell>
          <cell r="D234">
            <v>51850</v>
          </cell>
        </row>
        <row r="235">
          <cell r="B235">
            <v>43070</v>
          </cell>
          <cell r="C235">
            <v>16000</v>
          </cell>
          <cell r="D235">
            <v>51850</v>
          </cell>
        </row>
        <row r="236">
          <cell r="B236">
            <v>43101</v>
          </cell>
          <cell r="C236">
            <v>0</v>
          </cell>
          <cell r="D236">
            <v>51850</v>
          </cell>
        </row>
        <row r="237">
          <cell r="B237">
            <v>43132</v>
          </cell>
          <cell r="C237">
            <v>0</v>
          </cell>
          <cell r="D237">
            <v>51850</v>
          </cell>
        </row>
        <row r="238">
          <cell r="B238">
            <v>43160</v>
          </cell>
          <cell r="C238">
            <v>0</v>
          </cell>
          <cell r="D238">
            <v>51850</v>
          </cell>
        </row>
        <row r="239">
          <cell r="B239">
            <v>43191</v>
          </cell>
          <cell r="C239">
            <v>0</v>
          </cell>
          <cell r="D239">
            <v>51850</v>
          </cell>
        </row>
        <row r="240">
          <cell r="B240">
            <v>43221</v>
          </cell>
          <cell r="C240">
            <v>0</v>
          </cell>
          <cell r="D240">
            <v>51850</v>
          </cell>
        </row>
        <row r="241">
          <cell r="B241">
            <v>43252</v>
          </cell>
          <cell r="C241">
            <v>0</v>
          </cell>
          <cell r="D241">
            <v>51850</v>
          </cell>
        </row>
        <row r="242">
          <cell r="B242">
            <v>43282</v>
          </cell>
          <cell r="C242">
            <v>0</v>
          </cell>
          <cell r="D242">
            <v>51850</v>
          </cell>
        </row>
        <row r="243">
          <cell r="B243">
            <v>43313</v>
          </cell>
          <cell r="C243">
            <v>0</v>
          </cell>
          <cell r="D243">
            <v>51850</v>
          </cell>
        </row>
        <row r="244">
          <cell r="B244">
            <v>43344</v>
          </cell>
          <cell r="C244">
            <v>0</v>
          </cell>
          <cell r="D244">
            <v>51850</v>
          </cell>
        </row>
        <row r="245">
          <cell r="B245">
            <v>43374</v>
          </cell>
          <cell r="C245">
            <v>0</v>
          </cell>
          <cell r="D245">
            <v>51850</v>
          </cell>
        </row>
        <row r="246">
          <cell r="B246">
            <v>43405</v>
          </cell>
          <cell r="C246">
            <v>0</v>
          </cell>
          <cell r="D246">
            <v>51850</v>
          </cell>
        </row>
        <row r="247">
          <cell r="B247">
            <v>43435</v>
          </cell>
          <cell r="C247">
            <v>0</v>
          </cell>
          <cell r="D247">
            <v>51850</v>
          </cell>
        </row>
        <row r="248">
          <cell r="B248">
            <v>43466</v>
          </cell>
          <cell r="C248">
            <v>0</v>
          </cell>
          <cell r="D248">
            <v>51850</v>
          </cell>
        </row>
        <row r="249">
          <cell r="B249">
            <v>43497</v>
          </cell>
          <cell r="C249">
            <v>0</v>
          </cell>
          <cell r="D249">
            <v>51850</v>
          </cell>
        </row>
        <row r="250">
          <cell r="B250">
            <v>43525</v>
          </cell>
          <cell r="C250">
            <v>0</v>
          </cell>
          <cell r="D250">
            <v>51850</v>
          </cell>
        </row>
        <row r="251">
          <cell r="B251">
            <v>43556</v>
          </cell>
          <cell r="C251">
            <v>0</v>
          </cell>
          <cell r="D251">
            <v>51850</v>
          </cell>
        </row>
        <row r="252">
          <cell r="B252">
            <v>43586</v>
          </cell>
          <cell r="C252">
            <v>0</v>
          </cell>
          <cell r="D252">
            <v>51850</v>
          </cell>
        </row>
        <row r="253">
          <cell r="B253">
            <v>43617</v>
          </cell>
          <cell r="C253">
            <v>0</v>
          </cell>
          <cell r="D253">
            <v>51850</v>
          </cell>
        </row>
        <row r="254">
          <cell r="B254">
            <v>43647</v>
          </cell>
          <cell r="C254">
            <v>0</v>
          </cell>
          <cell r="D254">
            <v>51850</v>
          </cell>
        </row>
        <row r="255">
          <cell r="B255">
            <v>43678</v>
          </cell>
          <cell r="C255">
            <v>0</v>
          </cell>
          <cell r="D255">
            <v>51850</v>
          </cell>
        </row>
        <row r="256">
          <cell r="B256">
            <v>43709</v>
          </cell>
          <cell r="C256">
            <v>0</v>
          </cell>
          <cell r="D256">
            <v>51850</v>
          </cell>
        </row>
        <row r="257">
          <cell r="B257">
            <v>43739</v>
          </cell>
          <cell r="C257">
            <v>0</v>
          </cell>
          <cell r="D257">
            <v>51850</v>
          </cell>
        </row>
        <row r="258">
          <cell r="B258">
            <v>43770</v>
          </cell>
          <cell r="C258">
            <v>0</v>
          </cell>
          <cell r="D258">
            <v>51850</v>
          </cell>
        </row>
        <row r="259">
          <cell r="B259">
            <v>43800</v>
          </cell>
          <cell r="C259">
            <v>0</v>
          </cell>
          <cell r="D259">
            <v>51850</v>
          </cell>
        </row>
        <row r="260">
          <cell r="B260">
            <v>43831</v>
          </cell>
          <cell r="C260">
            <v>0</v>
          </cell>
          <cell r="D260">
            <v>51850</v>
          </cell>
        </row>
        <row r="261">
          <cell r="B261">
            <v>43862</v>
          </cell>
          <cell r="C261">
            <v>0</v>
          </cell>
          <cell r="D261">
            <v>51850</v>
          </cell>
        </row>
        <row r="262">
          <cell r="B262">
            <v>43891</v>
          </cell>
          <cell r="C262">
            <v>0</v>
          </cell>
          <cell r="D262">
            <v>51850</v>
          </cell>
        </row>
        <row r="263">
          <cell r="B263">
            <v>43922</v>
          </cell>
          <cell r="C263">
            <v>0</v>
          </cell>
          <cell r="D263">
            <v>51850</v>
          </cell>
        </row>
        <row r="264">
          <cell r="B264">
            <v>43952</v>
          </cell>
          <cell r="C264">
            <v>0</v>
          </cell>
          <cell r="D264">
            <v>51850</v>
          </cell>
        </row>
        <row r="265">
          <cell r="B265">
            <v>43983</v>
          </cell>
          <cell r="C265">
            <v>0</v>
          </cell>
          <cell r="D265">
            <v>51850</v>
          </cell>
        </row>
        <row r="266">
          <cell r="B266">
            <v>44013</v>
          </cell>
          <cell r="C266">
            <v>0</v>
          </cell>
          <cell r="D266">
            <v>51850</v>
          </cell>
        </row>
        <row r="267">
          <cell r="B267">
            <v>44044</v>
          </cell>
          <cell r="C267">
            <v>0</v>
          </cell>
          <cell r="D267">
            <v>51850</v>
          </cell>
        </row>
        <row r="268">
          <cell r="B268">
            <v>44075</v>
          </cell>
          <cell r="C268">
            <v>0</v>
          </cell>
          <cell r="D268">
            <v>51850</v>
          </cell>
        </row>
        <row r="269">
          <cell r="B269">
            <v>44105</v>
          </cell>
          <cell r="C269">
            <v>0</v>
          </cell>
          <cell r="D269">
            <v>51850</v>
          </cell>
        </row>
        <row r="270">
          <cell r="B270">
            <v>44136</v>
          </cell>
          <cell r="C270">
            <v>0</v>
          </cell>
          <cell r="D270">
            <v>51850</v>
          </cell>
        </row>
        <row r="271">
          <cell r="B271">
            <v>44166</v>
          </cell>
          <cell r="C271">
            <v>0</v>
          </cell>
          <cell r="D271">
            <v>51850</v>
          </cell>
        </row>
        <row r="272">
          <cell r="B272">
            <v>44197</v>
          </cell>
          <cell r="C272">
            <v>0</v>
          </cell>
          <cell r="D272">
            <v>51850</v>
          </cell>
        </row>
        <row r="273">
          <cell r="B273">
            <v>44228</v>
          </cell>
          <cell r="C273">
            <v>0</v>
          </cell>
          <cell r="D273">
            <v>51850</v>
          </cell>
        </row>
        <row r="274">
          <cell r="B274">
            <v>44256</v>
          </cell>
          <cell r="C274">
            <v>0</v>
          </cell>
          <cell r="D274">
            <v>51850</v>
          </cell>
        </row>
        <row r="275">
          <cell r="B275">
            <v>44287</v>
          </cell>
          <cell r="C275">
            <v>0</v>
          </cell>
          <cell r="D275">
            <v>51850</v>
          </cell>
        </row>
        <row r="276">
          <cell r="B276">
            <v>44317</v>
          </cell>
          <cell r="C276">
            <v>0</v>
          </cell>
          <cell r="D276">
            <v>51850</v>
          </cell>
        </row>
        <row r="277">
          <cell r="B277">
            <v>44348</v>
          </cell>
          <cell r="C277">
            <v>0</v>
          </cell>
          <cell r="D277">
            <v>51850</v>
          </cell>
        </row>
        <row r="278">
          <cell r="B278">
            <v>44378</v>
          </cell>
          <cell r="C278">
            <v>0</v>
          </cell>
          <cell r="D278">
            <v>51850</v>
          </cell>
        </row>
        <row r="279">
          <cell r="B279">
            <v>44409</v>
          </cell>
          <cell r="C279">
            <v>0</v>
          </cell>
          <cell r="D279">
            <v>51850</v>
          </cell>
        </row>
        <row r="280">
          <cell r="B280">
            <v>44440</v>
          </cell>
          <cell r="C280">
            <v>0</v>
          </cell>
          <cell r="D280">
            <v>51850</v>
          </cell>
        </row>
        <row r="281">
          <cell r="B281">
            <v>44470</v>
          </cell>
          <cell r="C281">
            <v>0</v>
          </cell>
          <cell r="D281">
            <v>51850</v>
          </cell>
        </row>
        <row r="282">
          <cell r="B282">
            <v>44501</v>
          </cell>
          <cell r="C282">
            <v>0</v>
          </cell>
          <cell r="D282">
            <v>51850</v>
          </cell>
        </row>
        <row r="283">
          <cell r="B283">
            <v>44531</v>
          </cell>
          <cell r="C283">
            <v>0</v>
          </cell>
          <cell r="D283">
            <v>51850</v>
          </cell>
        </row>
        <row r="284">
          <cell r="B284">
            <v>44562</v>
          </cell>
          <cell r="C284">
            <v>0</v>
          </cell>
          <cell r="D284">
            <v>51850</v>
          </cell>
        </row>
        <row r="285">
          <cell r="B285">
            <v>44593</v>
          </cell>
          <cell r="C285">
            <v>0</v>
          </cell>
          <cell r="D285">
            <v>51850</v>
          </cell>
        </row>
        <row r="286">
          <cell r="B286">
            <v>44621</v>
          </cell>
          <cell r="C286">
            <v>0</v>
          </cell>
          <cell r="D286">
            <v>51850</v>
          </cell>
        </row>
        <row r="287">
          <cell r="B287">
            <v>44652</v>
          </cell>
          <cell r="C287">
            <v>0</v>
          </cell>
          <cell r="D287">
            <v>51850</v>
          </cell>
        </row>
        <row r="288">
          <cell r="B288">
            <v>44682</v>
          </cell>
          <cell r="C288">
            <v>0</v>
          </cell>
          <cell r="D288">
            <v>51850</v>
          </cell>
        </row>
        <row r="289">
          <cell r="B289">
            <v>44713</v>
          </cell>
          <cell r="C289">
            <v>0</v>
          </cell>
          <cell r="D289">
            <v>51850</v>
          </cell>
        </row>
        <row r="290">
          <cell r="B290">
            <v>44743</v>
          </cell>
          <cell r="C290">
            <v>0</v>
          </cell>
          <cell r="D290">
            <v>51850</v>
          </cell>
        </row>
        <row r="291">
          <cell r="B291">
            <v>44774</v>
          </cell>
          <cell r="C291">
            <v>0</v>
          </cell>
          <cell r="D291">
            <v>51850</v>
          </cell>
        </row>
        <row r="292">
          <cell r="B292">
            <v>44805</v>
          </cell>
          <cell r="C292">
            <v>0</v>
          </cell>
          <cell r="D292">
            <v>51850</v>
          </cell>
        </row>
        <row r="293">
          <cell r="B293">
            <v>44835</v>
          </cell>
          <cell r="C293">
            <v>0</v>
          </cell>
          <cell r="D293">
            <v>51850</v>
          </cell>
        </row>
        <row r="294">
          <cell r="B294">
            <v>44866</v>
          </cell>
          <cell r="C294">
            <v>0</v>
          </cell>
          <cell r="D294">
            <v>51850</v>
          </cell>
        </row>
        <row r="295">
          <cell r="B295">
            <v>44896</v>
          </cell>
          <cell r="C295">
            <v>0</v>
          </cell>
          <cell r="D295">
            <v>51850</v>
          </cell>
        </row>
        <row r="296">
          <cell r="B296">
            <v>44927</v>
          </cell>
          <cell r="C296">
            <v>0</v>
          </cell>
          <cell r="D296">
            <v>51850</v>
          </cell>
        </row>
        <row r="297">
          <cell r="B297">
            <v>44958</v>
          </cell>
          <cell r="C297">
            <v>0</v>
          </cell>
          <cell r="D297">
            <v>51850</v>
          </cell>
        </row>
        <row r="298">
          <cell r="B298">
            <v>44986</v>
          </cell>
          <cell r="C298">
            <v>0</v>
          </cell>
          <cell r="D298">
            <v>51850</v>
          </cell>
        </row>
        <row r="299">
          <cell r="B299">
            <v>45017</v>
          </cell>
          <cell r="C299">
            <v>0</v>
          </cell>
          <cell r="D299">
            <v>51850</v>
          </cell>
        </row>
        <row r="300">
          <cell r="B300">
            <v>45047</v>
          </cell>
          <cell r="C300">
            <v>0</v>
          </cell>
          <cell r="D300">
            <v>51850</v>
          </cell>
        </row>
        <row r="301">
          <cell r="B301">
            <v>45078</v>
          </cell>
          <cell r="C301">
            <v>0</v>
          </cell>
          <cell r="D301">
            <v>51850</v>
          </cell>
        </row>
        <row r="302">
          <cell r="B302">
            <v>45108</v>
          </cell>
          <cell r="C302">
            <v>0</v>
          </cell>
          <cell r="D302">
            <v>51850</v>
          </cell>
        </row>
        <row r="303">
          <cell r="B303">
            <v>45139</v>
          </cell>
          <cell r="C303">
            <v>0</v>
          </cell>
          <cell r="D303">
            <v>51850</v>
          </cell>
        </row>
        <row r="304">
          <cell r="B304">
            <v>45170</v>
          </cell>
          <cell r="C304">
            <v>0</v>
          </cell>
          <cell r="D304">
            <v>51850</v>
          </cell>
        </row>
        <row r="305">
          <cell r="B305">
            <v>45200</v>
          </cell>
          <cell r="C305">
            <v>0</v>
          </cell>
          <cell r="D305">
            <v>51850</v>
          </cell>
        </row>
        <row r="306">
          <cell r="B306">
            <v>45231</v>
          </cell>
          <cell r="C306">
            <v>0</v>
          </cell>
          <cell r="D306">
            <v>51850</v>
          </cell>
        </row>
        <row r="307">
          <cell r="B307">
            <v>45261</v>
          </cell>
          <cell r="C307">
            <v>0</v>
          </cell>
          <cell r="D307">
            <v>51850</v>
          </cell>
        </row>
        <row r="308">
          <cell r="B308">
            <v>45292</v>
          </cell>
          <cell r="C308">
            <v>0</v>
          </cell>
          <cell r="D308">
            <v>51850</v>
          </cell>
        </row>
        <row r="309">
          <cell r="B309">
            <v>45323</v>
          </cell>
          <cell r="C309">
            <v>0</v>
          </cell>
          <cell r="D309">
            <v>51850</v>
          </cell>
        </row>
        <row r="310">
          <cell r="B310">
            <v>45352</v>
          </cell>
          <cell r="C310">
            <v>0</v>
          </cell>
          <cell r="D310">
            <v>51850</v>
          </cell>
        </row>
        <row r="311">
          <cell r="B311">
            <v>45383</v>
          </cell>
          <cell r="C311">
            <v>0</v>
          </cell>
          <cell r="D311">
            <v>51850</v>
          </cell>
        </row>
        <row r="312">
          <cell r="B312">
            <v>45413</v>
          </cell>
          <cell r="C312">
            <v>0</v>
          </cell>
          <cell r="D312">
            <v>51850</v>
          </cell>
        </row>
        <row r="313">
          <cell r="B313">
            <v>45444</v>
          </cell>
          <cell r="C313">
            <v>0</v>
          </cell>
          <cell r="D313">
            <v>51850</v>
          </cell>
        </row>
        <row r="314">
          <cell r="B314">
            <v>45474</v>
          </cell>
          <cell r="C314">
            <v>0</v>
          </cell>
          <cell r="D314">
            <v>51850</v>
          </cell>
        </row>
        <row r="315">
          <cell r="B315">
            <v>45505</v>
          </cell>
          <cell r="C315">
            <v>0</v>
          </cell>
          <cell r="D315">
            <v>51850</v>
          </cell>
        </row>
        <row r="316">
          <cell r="B316">
            <v>45536</v>
          </cell>
          <cell r="C316">
            <v>0</v>
          </cell>
          <cell r="D316">
            <v>51850</v>
          </cell>
        </row>
        <row r="317">
          <cell r="B317">
            <v>45566</v>
          </cell>
          <cell r="C317">
            <v>0</v>
          </cell>
          <cell r="D317">
            <v>51850</v>
          </cell>
        </row>
        <row r="318">
          <cell r="B318">
            <v>45597</v>
          </cell>
          <cell r="C318">
            <v>0</v>
          </cell>
          <cell r="D318">
            <v>51850</v>
          </cell>
        </row>
        <row r="319">
          <cell r="B319">
            <v>45627</v>
          </cell>
          <cell r="C319">
            <v>0</v>
          </cell>
          <cell r="D319">
            <v>51850</v>
          </cell>
        </row>
        <row r="320">
          <cell r="B320">
            <v>45658</v>
          </cell>
          <cell r="C320">
            <v>0</v>
          </cell>
          <cell r="D320">
            <v>51850</v>
          </cell>
        </row>
        <row r="321">
          <cell r="B321">
            <v>45689</v>
          </cell>
          <cell r="C321">
            <v>0</v>
          </cell>
          <cell r="D321">
            <v>51850</v>
          </cell>
        </row>
        <row r="322">
          <cell r="B322">
            <v>45717</v>
          </cell>
          <cell r="C322">
            <v>0</v>
          </cell>
          <cell r="D322">
            <v>51850</v>
          </cell>
        </row>
        <row r="323">
          <cell r="B323">
            <v>45748</v>
          </cell>
          <cell r="C323">
            <v>0</v>
          </cell>
          <cell r="D323">
            <v>51850</v>
          </cell>
        </row>
        <row r="324">
          <cell r="B324">
            <v>45778</v>
          </cell>
          <cell r="C324">
            <v>0</v>
          </cell>
          <cell r="D324">
            <v>51850</v>
          </cell>
        </row>
        <row r="325">
          <cell r="B325">
            <v>45809</v>
          </cell>
          <cell r="C325">
            <v>0</v>
          </cell>
          <cell r="D325">
            <v>51850</v>
          </cell>
        </row>
        <row r="326">
          <cell r="B326">
            <v>45839</v>
          </cell>
          <cell r="C326">
            <v>0</v>
          </cell>
          <cell r="D326">
            <v>51850</v>
          </cell>
        </row>
        <row r="327">
          <cell r="B327">
            <v>45870</v>
          </cell>
          <cell r="C327">
            <v>0</v>
          </cell>
          <cell r="D327">
            <v>51850</v>
          </cell>
        </row>
        <row r="328">
          <cell r="B328">
            <v>45901</v>
          </cell>
          <cell r="C328">
            <v>0</v>
          </cell>
          <cell r="D328">
            <v>51850</v>
          </cell>
        </row>
        <row r="329">
          <cell r="B329">
            <v>45931</v>
          </cell>
          <cell r="C329">
            <v>0</v>
          </cell>
          <cell r="D329">
            <v>51850</v>
          </cell>
        </row>
        <row r="330">
          <cell r="B330">
            <v>45962</v>
          </cell>
          <cell r="C330">
            <v>0</v>
          </cell>
          <cell r="D330">
            <v>51850</v>
          </cell>
        </row>
        <row r="331">
          <cell r="B331">
            <v>45992</v>
          </cell>
          <cell r="C331">
            <v>0</v>
          </cell>
          <cell r="D331">
            <v>51850</v>
          </cell>
        </row>
        <row r="332">
          <cell r="B332">
            <v>46023</v>
          </cell>
          <cell r="C332">
            <v>0</v>
          </cell>
          <cell r="D332">
            <v>0</v>
          </cell>
        </row>
        <row r="334">
          <cell r="B334" t="str">
            <v>DAILY</v>
          </cell>
          <cell r="C334" t="str">
            <v>HG</v>
          </cell>
          <cell r="D334" t="str">
            <v>EXMAR</v>
          </cell>
        </row>
        <row r="335">
          <cell r="C335">
            <v>1</v>
          </cell>
          <cell r="D335">
            <v>2</v>
          </cell>
          <cell r="E335">
            <v>3</v>
          </cell>
          <cell r="F335">
            <v>4</v>
          </cell>
          <cell r="G335">
            <v>5</v>
          </cell>
          <cell r="H335">
            <v>6</v>
          </cell>
        </row>
        <row r="336">
          <cell r="B336">
            <v>36708</v>
          </cell>
          <cell r="C336">
            <v>0</v>
          </cell>
          <cell r="D336">
            <v>0</v>
          </cell>
        </row>
        <row r="337">
          <cell r="B337">
            <v>36739</v>
          </cell>
          <cell r="C337">
            <v>0</v>
          </cell>
          <cell r="D337">
            <v>0</v>
          </cell>
        </row>
        <row r="338">
          <cell r="B338">
            <v>36770</v>
          </cell>
          <cell r="C338">
            <v>0</v>
          </cell>
          <cell r="D338">
            <v>0</v>
          </cell>
        </row>
        <row r="339">
          <cell r="B339">
            <v>36800</v>
          </cell>
          <cell r="C339">
            <v>0</v>
          </cell>
          <cell r="D339">
            <v>0</v>
          </cell>
        </row>
        <row r="340">
          <cell r="B340">
            <v>36831</v>
          </cell>
          <cell r="C340">
            <v>14000</v>
          </cell>
          <cell r="D340">
            <v>0</v>
          </cell>
        </row>
        <row r="341">
          <cell r="B341">
            <v>36861</v>
          </cell>
          <cell r="C341">
            <v>14000</v>
          </cell>
          <cell r="D341">
            <v>0</v>
          </cell>
        </row>
        <row r="342">
          <cell r="B342">
            <v>36892</v>
          </cell>
          <cell r="C342">
            <v>14000</v>
          </cell>
          <cell r="D342">
            <v>0</v>
          </cell>
        </row>
        <row r="343">
          <cell r="B343">
            <v>36923</v>
          </cell>
          <cell r="C343">
            <v>14000</v>
          </cell>
          <cell r="D343">
            <v>0</v>
          </cell>
        </row>
        <row r="344">
          <cell r="B344">
            <v>36951</v>
          </cell>
          <cell r="C344">
            <v>14029.1666666667</v>
          </cell>
          <cell r="D344">
            <v>0</v>
          </cell>
        </row>
        <row r="345">
          <cell r="B345">
            <v>36982</v>
          </cell>
          <cell r="C345">
            <v>14058.3940972222</v>
          </cell>
          <cell r="D345">
            <v>0</v>
          </cell>
        </row>
        <row r="346">
          <cell r="B346">
            <v>37012</v>
          </cell>
          <cell r="C346">
            <v>14087.6824182581</v>
          </cell>
          <cell r="D346">
            <v>0</v>
          </cell>
        </row>
        <row r="347">
          <cell r="B347">
            <v>37043</v>
          </cell>
          <cell r="C347">
            <v>14117.0317566295</v>
          </cell>
          <cell r="D347">
            <v>0</v>
          </cell>
        </row>
        <row r="348">
          <cell r="B348">
            <v>37073</v>
          </cell>
          <cell r="C348">
            <v>14146.4422394558</v>
          </cell>
          <cell r="D348">
            <v>0</v>
          </cell>
        </row>
        <row r="349">
          <cell r="B349">
            <v>37104</v>
          </cell>
          <cell r="C349">
            <v>14175.9139941213</v>
          </cell>
          <cell r="D349">
            <v>0</v>
          </cell>
        </row>
        <row r="350">
          <cell r="B350">
            <v>37135</v>
          </cell>
          <cell r="C350">
            <v>14205.4471482757</v>
          </cell>
          <cell r="D350">
            <v>0</v>
          </cell>
        </row>
        <row r="351">
          <cell r="B351">
            <v>37165</v>
          </cell>
          <cell r="C351">
            <v>14235.0418298347</v>
          </cell>
          <cell r="D351">
            <v>0</v>
          </cell>
        </row>
        <row r="352">
          <cell r="B352">
            <v>37196</v>
          </cell>
          <cell r="C352">
            <v>14264.6981669801</v>
          </cell>
          <cell r="D352">
            <v>0</v>
          </cell>
        </row>
        <row r="353">
          <cell r="B353">
            <v>37226</v>
          </cell>
          <cell r="C353">
            <v>14294.4162881614</v>
          </cell>
          <cell r="D353">
            <v>0</v>
          </cell>
        </row>
        <row r="354">
          <cell r="B354">
            <v>37257</v>
          </cell>
          <cell r="C354">
            <v>14324.196322095</v>
          </cell>
          <cell r="D354">
            <v>0</v>
          </cell>
        </row>
        <row r="355">
          <cell r="B355">
            <v>37288</v>
          </cell>
          <cell r="C355">
            <v>14354.0383977661</v>
          </cell>
          <cell r="D355">
            <v>0</v>
          </cell>
        </row>
        <row r="356">
          <cell r="B356">
            <v>37316</v>
          </cell>
          <cell r="C356">
            <v>14383.9426444281</v>
          </cell>
          <cell r="D356">
            <v>0</v>
          </cell>
        </row>
        <row r="357">
          <cell r="B357">
            <v>37347</v>
          </cell>
          <cell r="C357">
            <v>14413.909191604</v>
          </cell>
          <cell r="D357">
            <v>0</v>
          </cell>
        </row>
        <row r="358">
          <cell r="B358">
            <v>37377</v>
          </cell>
          <cell r="C358">
            <v>14443.9381690865</v>
          </cell>
          <cell r="D358">
            <v>0</v>
          </cell>
        </row>
        <row r="359">
          <cell r="B359">
            <v>37408</v>
          </cell>
          <cell r="C359">
            <v>14474.0297069387</v>
          </cell>
          <cell r="D359">
            <v>0</v>
          </cell>
        </row>
        <row r="360">
          <cell r="B360">
            <v>37438</v>
          </cell>
          <cell r="C360">
            <v>14504.1839354949</v>
          </cell>
          <cell r="D360">
            <v>0</v>
          </cell>
        </row>
        <row r="361">
          <cell r="B361">
            <v>37469</v>
          </cell>
          <cell r="C361">
            <v>14534.4009853605</v>
          </cell>
          <cell r="D361">
            <v>0</v>
          </cell>
        </row>
        <row r="362">
          <cell r="B362">
            <v>37500</v>
          </cell>
          <cell r="C362">
            <v>14564.6809874133</v>
          </cell>
          <cell r="D362">
            <v>0</v>
          </cell>
        </row>
        <row r="363">
          <cell r="B363">
            <v>37530</v>
          </cell>
          <cell r="C363">
            <v>14595.0240728038</v>
          </cell>
          <cell r="D363">
            <v>0</v>
          </cell>
        </row>
        <row r="364">
          <cell r="B364">
            <v>37561</v>
          </cell>
          <cell r="C364">
            <v>14625.4303729554</v>
          </cell>
          <cell r="D364">
            <v>0</v>
          </cell>
        </row>
        <row r="365">
          <cell r="B365">
            <v>37591</v>
          </cell>
          <cell r="C365">
            <v>14655.9000195658</v>
          </cell>
          <cell r="D365">
            <v>0</v>
          </cell>
        </row>
        <row r="366">
          <cell r="B366">
            <v>37622</v>
          </cell>
          <cell r="C366">
            <v>14686.4331446065</v>
          </cell>
          <cell r="D366">
            <v>10790</v>
          </cell>
        </row>
        <row r="367">
          <cell r="B367">
            <v>37653</v>
          </cell>
          <cell r="C367">
            <v>14717.0298803245</v>
          </cell>
          <cell r="D367">
            <v>10812.4791666667</v>
          </cell>
        </row>
        <row r="368">
          <cell r="B368">
            <v>37681</v>
          </cell>
          <cell r="C368">
            <v>14747.6903592418</v>
          </cell>
          <cell r="D368">
            <v>10835.0051649306</v>
          </cell>
        </row>
        <row r="369">
          <cell r="B369">
            <v>37712</v>
          </cell>
          <cell r="C369">
            <v>14778.4147141569</v>
          </cell>
          <cell r="D369">
            <v>10857.5780923575</v>
          </cell>
        </row>
        <row r="370">
          <cell r="B370">
            <v>37742</v>
          </cell>
          <cell r="C370">
            <v>14809.2030781447</v>
          </cell>
          <cell r="D370">
            <v>10880.1980467166</v>
          </cell>
        </row>
        <row r="371">
          <cell r="B371">
            <v>37773</v>
          </cell>
          <cell r="C371">
            <v>14840.0555845575</v>
          </cell>
          <cell r="D371">
            <v>10902.8651259806</v>
          </cell>
        </row>
        <row r="372">
          <cell r="B372">
            <v>37803</v>
          </cell>
          <cell r="C372">
            <v>14870.9723670254</v>
          </cell>
          <cell r="D372">
            <v>10925.5794283264</v>
          </cell>
        </row>
        <row r="373">
          <cell r="B373">
            <v>37834</v>
          </cell>
          <cell r="C373">
            <v>14901.9535594567</v>
          </cell>
          <cell r="D373">
            <v>10948.3410521354</v>
          </cell>
        </row>
        <row r="374">
          <cell r="B374">
            <v>37865</v>
          </cell>
          <cell r="C374">
            <v>14932.9992960389</v>
          </cell>
          <cell r="D374">
            <v>10971.150095994</v>
          </cell>
        </row>
        <row r="375">
          <cell r="B375">
            <v>37895</v>
          </cell>
          <cell r="C375">
            <v>14964.1097112389</v>
          </cell>
          <cell r="D375">
            <v>10994.006658694</v>
          </cell>
        </row>
        <row r="376">
          <cell r="B376">
            <v>37926</v>
          </cell>
          <cell r="C376">
            <v>14995.284939804</v>
          </cell>
          <cell r="D376">
            <v>11016.9108392329</v>
          </cell>
        </row>
        <row r="377">
          <cell r="B377">
            <v>37956</v>
          </cell>
          <cell r="C377">
            <v>15026.5251167619</v>
          </cell>
          <cell r="D377">
            <v>11039.8627368147</v>
          </cell>
        </row>
        <row r="378">
          <cell r="B378">
            <v>37987</v>
          </cell>
          <cell r="C378">
            <v>15057.8303774219</v>
          </cell>
          <cell r="D378">
            <v>11062.8624508497</v>
          </cell>
        </row>
        <row r="379">
          <cell r="B379">
            <v>38018</v>
          </cell>
          <cell r="C379">
            <v>15089.2008573748</v>
          </cell>
          <cell r="D379">
            <v>11085.9100809556</v>
          </cell>
        </row>
        <row r="380">
          <cell r="B380">
            <v>38047</v>
          </cell>
          <cell r="C380">
            <v>15120.6366924944</v>
          </cell>
          <cell r="D380">
            <v>11109.0057269576</v>
          </cell>
        </row>
        <row r="381">
          <cell r="B381">
            <v>38078</v>
          </cell>
          <cell r="C381">
            <v>15152.1380189371</v>
          </cell>
          <cell r="D381">
            <v>11132.1494888888</v>
          </cell>
        </row>
        <row r="382">
          <cell r="B382">
            <v>38108</v>
          </cell>
          <cell r="C382">
            <v>15183.7049731432</v>
          </cell>
          <cell r="D382">
            <v>11155.3414669906</v>
          </cell>
        </row>
        <row r="383">
          <cell r="B383">
            <v>38139</v>
          </cell>
          <cell r="C383">
            <v>15215.3376918372</v>
          </cell>
          <cell r="D383">
            <v>11178.5817617135</v>
          </cell>
        </row>
        <row r="384">
          <cell r="B384">
            <v>38169</v>
          </cell>
          <cell r="C384">
            <v>15247.0363120286</v>
          </cell>
          <cell r="D384">
            <v>11201.8704737171</v>
          </cell>
        </row>
        <row r="385">
          <cell r="B385">
            <v>38200</v>
          </cell>
          <cell r="C385">
            <v>15278.800971012</v>
          </cell>
          <cell r="D385">
            <v>11225.2077038707</v>
          </cell>
        </row>
        <row r="386">
          <cell r="B386">
            <v>38231</v>
          </cell>
          <cell r="C386">
            <v>15310.6318063682</v>
          </cell>
          <cell r="D386">
            <v>11248.5935532538</v>
          </cell>
        </row>
        <row r="387">
          <cell r="B387">
            <v>38261</v>
          </cell>
          <cell r="C387">
            <v>15342.5289559648</v>
          </cell>
          <cell r="D387">
            <v>11272.0281231564</v>
          </cell>
        </row>
        <row r="388">
          <cell r="B388">
            <v>38292</v>
          </cell>
          <cell r="C388">
            <v>15374.4925579564</v>
          </cell>
          <cell r="D388">
            <v>11295.5115150796</v>
          </cell>
        </row>
        <row r="389">
          <cell r="B389">
            <v>38322</v>
          </cell>
          <cell r="C389">
            <v>15406.5227507855</v>
          </cell>
          <cell r="D389">
            <v>11319.043830736</v>
          </cell>
        </row>
        <row r="390">
          <cell r="B390">
            <v>38353</v>
          </cell>
          <cell r="C390">
            <v>15438.619673183</v>
          </cell>
          <cell r="D390">
            <v>11342.6251720501</v>
          </cell>
        </row>
        <row r="391">
          <cell r="B391">
            <v>38384</v>
          </cell>
          <cell r="C391">
            <v>15470.7834641688</v>
          </cell>
          <cell r="D391">
            <v>11366.2556411585</v>
          </cell>
        </row>
        <row r="392">
          <cell r="B392">
            <v>38412</v>
          </cell>
          <cell r="C392">
            <v>15503.0142630525</v>
          </cell>
          <cell r="D392">
            <v>11389.9353404109</v>
          </cell>
        </row>
        <row r="393">
          <cell r="B393">
            <v>38443</v>
          </cell>
          <cell r="C393">
            <v>15535.3122094338</v>
          </cell>
          <cell r="D393">
            <v>11413.6643723701</v>
          </cell>
        </row>
        <row r="394">
          <cell r="B394">
            <v>38473</v>
          </cell>
          <cell r="C394">
            <v>15567.6774432035</v>
          </cell>
          <cell r="D394">
            <v>11437.4428398126</v>
          </cell>
        </row>
        <row r="395">
          <cell r="B395">
            <v>38504</v>
          </cell>
          <cell r="C395">
            <v>15600.1101045435</v>
          </cell>
          <cell r="D395">
            <v>11461.2708457288</v>
          </cell>
        </row>
        <row r="396">
          <cell r="B396">
            <v>38534</v>
          </cell>
          <cell r="C396">
            <v>15632.610333928</v>
          </cell>
          <cell r="D396">
            <v>11485.1484933241</v>
          </cell>
        </row>
        <row r="397">
          <cell r="B397">
            <v>38565</v>
          </cell>
          <cell r="C397">
            <v>15665.1782721236</v>
          </cell>
          <cell r="D397">
            <v>11509.0758860185</v>
          </cell>
        </row>
        <row r="398">
          <cell r="B398">
            <v>38596</v>
          </cell>
          <cell r="C398">
            <v>15697.8140601906</v>
          </cell>
          <cell r="D398">
            <v>11533.0531274477</v>
          </cell>
        </row>
        <row r="399">
          <cell r="B399">
            <v>38626</v>
          </cell>
          <cell r="C399">
            <v>15730.5178394826</v>
          </cell>
          <cell r="D399">
            <v>11557.0803214632</v>
          </cell>
        </row>
        <row r="400">
          <cell r="B400">
            <v>38657</v>
          </cell>
          <cell r="C400">
            <v>15763.2897516482</v>
          </cell>
          <cell r="D400">
            <v>11581.157572133</v>
          </cell>
        </row>
        <row r="401">
          <cell r="B401">
            <v>38687</v>
          </cell>
          <cell r="C401">
            <v>15796.1299386308</v>
          </cell>
          <cell r="D401">
            <v>11605.2849837416</v>
          </cell>
        </row>
        <row r="402">
          <cell r="B402">
            <v>38718</v>
          </cell>
          <cell r="C402">
            <v>15829.0385426696</v>
          </cell>
          <cell r="D402">
            <v>11629.462660791</v>
          </cell>
        </row>
        <row r="403">
          <cell r="B403">
            <v>38749</v>
          </cell>
          <cell r="C403">
            <v>15862.0157063002</v>
          </cell>
          <cell r="D403">
            <v>11653.690708001</v>
          </cell>
        </row>
        <row r="404">
          <cell r="B404">
            <v>38777</v>
          </cell>
          <cell r="C404">
            <v>15895.061572355</v>
          </cell>
          <cell r="D404">
            <v>11677.9692303094</v>
          </cell>
        </row>
        <row r="405">
          <cell r="B405">
            <v>38808</v>
          </cell>
          <cell r="C405">
            <v>15928.1762839641</v>
          </cell>
          <cell r="D405">
            <v>11702.2983328725</v>
          </cell>
        </row>
        <row r="406">
          <cell r="B406">
            <v>38838</v>
          </cell>
          <cell r="C406">
            <v>15961.3599845557</v>
          </cell>
          <cell r="D406">
            <v>11726.678121066</v>
          </cell>
        </row>
        <row r="407">
          <cell r="B407">
            <v>38869</v>
          </cell>
          <cell r="C407">
            <v>15994.6128178568</v>
          </cell>
          <cell r="D407">
            <v>11751.1087004849</v>
          </cell>
        </row>
        <row r="408">
          <cell r="B408">
            <v>38899</v>
          </cell>
          <cell r="C408">
            <v>16027.934927894</v>
          </cell>
          <cell r="D408">
            <v>11775.5901769442</v>
          </cell>
        </row>
        <row r="409">
          <cell r="B409">
            <v>38930</v>
          </cell>
          <cell r="C409">
            <v>16061.3264589938</v>
          </cell>
          <cell r="D409">
            <v>11800.1226564795</v>
          </cell>
        </row>
        <row r="410">
          <cell r="B410">
            <v>38961</v>
          </cell>
          <cell r="C410">
            <v>16094.7875557834</v>
          </cell>
          <cell r="D410">
            <v>11824.7062453472</v>
          </cell>
        </row>
        <row r="411">
          <cell r="B411">
            <v>38991</v>
          </cell>
          <cell r="C411">
            <v>16128.3183631913</v>
          </cell>
          <cell r="D411">
            <v>11849.341050025</v>
          </cell>
        </row>
        <row r="412">
          <cell r="B412">
            <v>39022</v>
          </cell>
          <cell r="C412">
            <v>16161.9190264479</v>
          </cell>
          <cell r="D412">
            <v>11874.0271772126</v>
          </cell>
        </row>
        <row r="413">
          <cell r="B413">
            <v>39052</v>
          </cell>
          <cell r="C413">
            <v>16195.5896910864</v>
          </cell>
          <cell r="D413">
            <v>11898.7647338317</v>
          </cell>
        </row>
        <row r="414">
          <cell r="B414">
            <v>39083</v>
          </cell>
          <cell r="C414">
            <v>16229.3305029428</v>
          </cell>
          <cell r="D414">
            <v>11923.5538270272</v>
          </cell>
        </row>
        <row r="415">
          <cell r="B415">
            <v>39114</v>
          </cell>
          <cell r="C415">
            <v>16263.1416081573</v>
          </cell>
          <cell r="D415">
            <v>11948.3945641669</v>
          </cell>
        </row>
        <row r="416">
          <cell r="B416">
            <v>39142</v>
          </cell>
          <cell r="C416">
            <v>16297.0231531742</v>
          </cell>
          <cell r="D416">
            <v>11973.2870528422</v>
          </cell>
        </row>
        <row r="417">
          <cell r="B417">
            <v>39173</v>
          </cell>
          <cell r="C417">
            <v>16330.9752847434</v>
          </cell>
          <cell r="D417">
            <v>11998.231400869</v>
          </cell>
        </row>
        <row r="418">
          <cell r="B418">
            <v>39203</v>
          </cell>
          <cell r="C418">
            <v>16364.9981499199</v>
          </cell>
          <cell r="D418">
            <v>12023.2277162875</v>
          </cell>
        </row>
        <row r="419">
          <cell r="B419">
            <v>39234</v>
          </cell>
          <cell r="C419">
            <v>16399.0918960656</v>
          </cell>
          <cell r="D419">
            <v>12048.2761073631</v>
          </cell>
        </row>
        <row r="420">
          <cell r="B420">
            <v>39264</v>
          </cell>
          <cell r="C420">
            <v>16433.2566708491</v>
          </cell>
          <cell r="D420">
            <v>12073.3766825867</v>
          </cell>
        </row>
        <row r="421">
          <cell r="B421">
            <v>39295</v>
          </cell>
          <cell r="C421">
            <v>16467.4926222467</v>
          </cell>
          <cell r="D421">
            <v>12098.5295506755</v>
          </cell>
        </row>
        <row r="422">
          <cell r="B422">
            <v>39326</v>
          </cell>
          <cell r="C422">
            <v>16501.799898543</v>
          </cell>
          <cell r="D422">
            <v>12123.7348205727</v>
          </cell>
        </row>
        <row r="423">
          <cell r="B423">
            <v>39356</v>
          </cell>
          <cell r="C423">
            <v>16536.1786483316</v>
          </cell>
          <cell r="D423">
            <v>12148.9926014489</v>
          </cell>
        </row>
        <row r="424">
          <cell r="B424">
            <v>39387</v>
          </cell>
          <cell r="C424">
            <v>16570.6290205157</v>
          </cell>
          <cell r="D424">
            <v>12174.3030027019</v>
          </cell>
        </row>
        <row r="425">
          <cell r="B425">
            <v>39417</v>
          </cell>
          <cell r="C425">
            <v>16605.1511643084</v>
          </cell>
          <cell r="D425">
            <v>12199.6661339575</v>
          </cell>
        </row>
        <row r="426">
          <cell r="B426">
            <v>39448</v>
          </cell>
          <cell r="C426">
            <v>16639.7452292341</v>
          </cell>
          <cell r="D426">
            <v>12225.08210507</v>
          </cell>
        </row>
        <row r="427">
          <cell r="B427">
            <v>39479</v>
          </cell>
          <cell r="C427">
            <v>16674.4113651283</v>
          </cell>
          <cell r="D427">
            <v>12250.5510261222</v>
          </cell>
        </row>
        <row r="428">
          <cell r="B428">
            <v>39508</v>
          </cell>
          <cell r="C428">
            <v>16709.149722139</v>
          </cell>
          <cell r="D428">
            <v>12276.0730074266</v>
          </cell>
        </row>
        <row r="429">
          <cell r="B429">
            <v>39539</v>
          </cell>
          <cell r="C429">
            <v>16743.9604507268</v>
          </cell>
          <cell r="D429">
            <v>12301.6481595254</v>
          </cell>
        </row>
        <row r="430">
          <cell r="B430">
            <v>39569</v>
          </cell>
          <cell r="C430">
            <v>16778.8437016658</v>
          </cell>
          <cell r="D430">
            <v>12327.2765931911</v>
          </cell>
        </row>
        <row r="431">
          <cell r="B431">
            <v>39600</v>
          </cell>
          <cell r="C431">
            <v>16813.7996260443</v>
          </cell>
          <cell r="D431">
            <v>12352.9584194269</v>
          </cell>
        </row>
        <row r="432">
          <cell r="B432">
            <v>39630</v>
          </cell>
          <cell r="C432">
            <v>16848.8283752652</v>
          </cell>
          <cell r="D432">
            <v>12378.6937494674</v>
          </cell>
        </row>
        <row r="433">
          <cell r="B433">
            <v>39661</v>
          </cell>
          <cell r="C433">
            <v>16883.930101047</v>
          </cell>
          <cell r="D433">
            <v>12404.4826947788</v>
          </cell>
        </row>
        <row r="434">
          <cell r="B434">
            <v>39692</v>
          </cell>
          <cell r="C434">
            <v>16919.1049554242</v>
          </cell>
          <cell r="D434">
            <v>12430.3253670596</v>
          </cell>
        </row>
        <row r="435">
          <cell r="B435">
            <v>39722</v>
          </cell>
          <cell r="C435">
            <v>16954.353090748</v>
          </cell>
          <cell r="D435">
            <v>12456.2218782409</v>
          </cell>
        </row>
        <row r="436">
          <cell r="B436">
            <v>39753</v>
          </cell>
          <cell r="C436">
            <v>16989.674659687</v>
          </cell>
          <cell r="D436">
            <v>12482.1723404873</v>
          </cell>
        </row>
        <row r="437">
          <cell r="B437">
            <v>39783</v>
          </cell>
          <cell r="C437">
            <v>17025.0698152281</v>
          </cell>
          <cell r="D437">
            <v>12508.1768661966</v>
          </cell>
        </row>
        <row r="438">
          <cell r="B438">
            <v>39814</v>
          </cell>
          <cell r="C438">
            <v>17060.5387106765</v>
          </cell>
          <cell r="D438">
            <v>12534.2355680012</v>
          </cell>
        </row>
        <row r="439">
          <cell r="B439">
            <v>39845</v>
          </cell>
          <cell r="C439">
            <v>17096.081499657</v>
          </cell>
          <cell r="D439">
            <v>12560.3485587679</v>
          </cell>
        </row>
        <row r="440">
          <cell r="B440">
            <v>39873</v>
          </cell>
          <cell r="C440">
            <v>17131.6983361146</v>
          </cell>
          <cell r="D440">
            <v>12586.5159515986</v>
          </cell>
        </row>
        <row r="441">
          <cell r="B441">
            <v>39904</v>
          </cell>
          <cell r="C441">
            <v>17167.3893743149</v>
          </cell>
          <cell r="D441">
            <v>12612.7378598311</v>
          </cell>
        </row>
        <row r="442">
          <cell r="B442">
            <v>39934</v>
          </cell>
          <cell r="C442">
            <v>17203.1547688447</v>
          </cell>
          <cell r="D442">
            <v>12639.0143970391</v>
          </cell>
        </row>
        <row r="443">
          <cell r="B443">
            <v>39965</v>
          </cell>
          <cell r="C443">
            <v>17238.9946746131</v>
          </cell>
          <cell r="D443">
            <v>12665.345677033</v>
          </cell>
        </row>
        <row r="444">
          <cell r="B444">
            <v>39995</v>
          </cell>
          <cell r="C444">
            <v>17274.9092468519</v>
          </cell>
          <cell r="D444">
            <v>12691.7318138601</v>
          </cell>
        </row>
        <row r="445">
          <cell r="B445">
            <v>40026</v>
          </cell>
          <cell r="C445">
            <v>17310.8986411162</v>
          </cell>
          <cell r="D445">
            <v>12718.1729218057</v>
          </cell>
        </row>
        <row r="446">
          <cell r="B446">
            <v>40057</v>
          </cell>
          <cell r="C446">
            <v>17346.9630132852</v>
          </cell>
          <cell r="D446">
            <v>12744.6691153927</v>
          </cell>
        </row>
        <row r="447">
          <cell r="B447">
            <v>40087</v>
          </cell>
          <cell r="C447">
            <v>17383.1025195629</v>
          </cell>
          <cell r="D447">
            <v>12771.2205093832</v>
          </cell>
        </row>
        <row r="448">
          <cell r="B448">
            <v>40118</v>
          </cell>
          <cell r="C448">
            <v>17419.3173164786</v>
          </cell>
          <cell r="D448">
            <v>12797.8272187777</v>
          </cell>
        </row>
        <row r="449">
          <cell r="B449">
            <v>40148</v>
          </cell>
          <cell r="C449">
            <v>17455.607560888</v>
          </cell>
          <cell r="D449">
            <v>12824.4893588168</v>
          </cell>
        </row>
        <row r="450">
          <cell r="B450">
            <v>40179</v>
          </cell>
          <cell r="C450">
            <v>17491.9734099731</v>
          </cell>
          <cell r="D450">
            <v>12851.207044981</v>
          </cell>
        </row>
        <row r="451">
          <cell r="B451">
            <v>40210</v>
          </cell>
          <cell r="C451">
            <v>17528.4150212439</v>
          </cell>
          <cell r="D451">
            <v>12877.9803929914</v>
          </cell>
        </row>
        <row r="452">
          <cell r="B452">
            <v>40238</v>
          </cell>
          <cell r="C452">
            <v>17564.9325525382</v>
          </cell>
          <cell r="D452">
            <v>12904.8095188101</v>
          </cell>
        </row>
        <row r="453">
          <cell r="B453">
            <v>40269</v>
          </cell>
          <cell r="C453">
            <v>17601.5261620226</v>
          </cell>
          <cell r="D453">
            <v>12931.694538641</v>
          </cell>
        </row>
        <row r="454">
          <cell r="B454">
            <v>40299</v>
          </cell>
          <cell r="C454">
            <v>17638.1960081935</v>
          </cell>
          <cell r="D454">
            <v>12958.6355689298</v>
          </cell>
        </row>
        <row r="455">
          <cell r="B455">
            <v>40330</v>
          </cell>
          <cell r="C455">
            <v>17674.9422498773</v>
          </cell>
          <cell r="D455">
            <v>12985.6327263651</v>
          </cell>
        </row>
        <row r="456">
          <cell r="B456">
            <v>40360</v>
          </cell>
          <cell r="C456">
            <v>17711.7650462312</v>
          </cell>
          <cell r="D456">
            <v>13012.6861278784</v>
          </cell>
        </row>
        <row r="457">
          <cell r="B457">
            <v>40391</v>
          </cell>
          <cell r="C457">
            <v>17748.6645567442</v>
          </cell>
          <cell r="D457">
            <v>13039.7958906448</v>
          </cell>
        </row>
        <row r="458">
          <cell r="B458">
            <v>40422</v>
          </cell>
          <cell r="C458">
            <v>17785.6409412374</v>
          </cell>
          <cell r="D458">
            <v>13066.9621320836</v>
          </cell>
        </row>
        <row r="459">
          <cell r="B459">
            <v>40452</v>
          </cell>
          <cell r="C459">
            <v>17822.694359865</v>
          </cell>
          <cell r="D459">
            <v>13094.1849698588</v>
          </cell>
        </row>
        <row r="460">
          <cell r="B460">
            <v>40483</v>
          </cell>
          <cell r="C460">
            <v>17859.8249731147</v>
          </cell>
          <cell r="D460">
            <v>13121.4645218793</v>
          </cell>
        </row>
        <row r="461">
          <cell r="B461">
            <v>40513</v>
          </cell>
          <cell r="C461">
            <v>17897.0329418087</v>
          </cell>
          <cell r="D461">
            <v>13148.8009062999</v>
          </cell>
        </row>
        <row r="462">
          <cell r="B462">
            <v>40544</v>
          </cell>
          <cell r="C462">
            <v>17934.3184271041</v>
          </cell>
          <cell r="D462">
            <v>13176.1942415214</v>
          </cell>
        </row>
        <row r="463">
          <cell r="B463">
            <v>40575</v>
          </cell>
          <cell r="C463">
            <v>17971.6815904939</v>
          </cell>
          <cell r="D463">
            <v>13203.6446461912</v>
          </cell>
        </row>
        <row r="464">
          <cell r="B464">
            <v>40603</v>
          </cell>
          <cell r="C464">
            <v>18009.1225938074</v>
          </cell>
          <cell r="D464">
            <v>13231.1522392041</v>
          </cell>
        </row>
        <row r="465">
          <cell r="B465">
            <v>40634</v>
          </cell>
          <cell r="C465">
            <v>18046.6415992112</v>
          </cell>
          <cell r="D465">
            <v>13258.7171397025</v>
          </cell>
        </row>
        <row r="466">
          <cell r="B466">
            <v>40664</v>
          </cell>
          <cell r="C466">
            <v>18084.2387692096</v>
          </cell>
          <cell r="D466">
            <v>13286.3394670768</v>
          </cell>
        </row>
        <row r="467">
          <cell r="B467">
            <v>40695</v>
          </cell>
          <cell r="C467">
            <v>18121.9142666454</v>
          </cell>
          <cell r="D467">
            <v>13314.0193409666</v>
          </cell>
        </row>
        <row r="468">
          <cell r="B468">
            <v>40725</v>
          </cell>
          <cell r="C468">
            <v>18159.6682547009</v>
          </cell>
          <cell r="D468">
            <v>13341.7568812603</v>
          </cell>
        </row>
        <row r="469">
          <cell r="B469">
            <v>40756</v>
          </cell>
          <cell r="C469">
            <v>18197.5008968982</v>
          </cell>
          <cell r="D469">
            <v>13369.5522080962</v>
          </cell>
        </row>
        <row r="470">
          <cell r="B470">
            <v>40787</v>
          </cell>
          <cell r="C470">
            <v>18235.4123571001</v>
          </cell>
          <cell r="D470">
            <v>13397.4054418631</v>
          </cell>
        </row>
        <row r="471">
          <cell r="B471">
            <v>40817</v>
          </cell>
          <cell r="C471">
            <v>18273.4027995107</v>
          </cell>
          <cell r="D471">
            <v>13425.3167032003</v>
          </cell>
        </row>
        <row r="472">
          <cell r="B472">
            <v>40848</v>
          </cell>
          <cell r="C472">
            <v>18311.4723886764</v>
          </cell>
          <cell r="D472">
            <v>13453.2861129987</v>
          </cell>
        </row>
        <row r="473">
          <cell r="B473">
            <v>40878</v>
          </cell>
          <cell r="C473">
            <v>18349.6212894861</v>
          </cell>
          <cell r="D473">
            <v>13481.3137924007</v>
          </cell>
        </row>
        <row r="474">
          <cell r="B474">
            <v>40909</v>
          </cell>
          <cell r="C474">
            <v>18387.8496671726</v>
          </cell>
          <cell r="D474">
            <v>13509.3998628016</v>
          </cell>
        </row>
        <row r="475">
          <cell r="B475">
            <v>40940</v>
          </cell>
          <cell r="C475">
            <v>18426.1576873125</v>
          </cell>
          <cell r="D475">
            <v>13537.5444458491</v>
          </cell>
        </row>
        <row r="476">
          <cell r="B476">
            <v>40969</v>
          </cell>
          <cell r="C476">
            <v>18464.5455158277</v>
          </cell>
          <cell r="D476">
            <v>13565.7476634446</v>
          </cell>
        </row>
        <row r="477">
          <cell r="B477">
            <v>41000</v>
          </cell>
          <cell r="C477">
            <v>18503.0133189857</v>
          </cell>
          <cell r="D477">
            <v>13594.0096377434</v>
          </cell>
        </row>
        <row r="478">
          <cell r="B478">
            <v>41030</v>
          </cell>
          <cell r="C478">
            <v>18541.5612634003</v>
          </cell>
          <cell r="D478">
            <v>13622.3304911554</v>
          </cell>
        </row>
        <row r="479">
          <cell r="B479">
            <v>41061</v>
          </cell>
          <cell r="C479">
            <v>18580.1895160324</v>
          </cell>
          <cell r="D479">
            <v>13650.7103463453</v>
          </cell>
        </row>
        <row r="480">
          <cell r="B480">
            <v>41091</v>
          </cell>
          <cell r="C480">
            <v>18618.8982441908</v>
          </cell>
          <cell r="D480">
            <v>13679.1493262335</v>
          </cell>
        </row>
        <row r="481">
          <cell r="B481">
            <v>41122</v>
          </cell>
          <cell r="C481">
            <v>18657.6876155328</v>
          </cell>
          <cell r="D481">
            <v>13707.6475539965</v>
          </cell>
        </row>
        <row r="482">
          <cell r="B482">
            <v>41153</v>
          </cell>
          <cell r="C482">
            <v>18696.5577980652</v>
          </cell>
          <cell r="D482">
            <v>13736.2051530673</v>
          </cell>
        </row>
        <row r="483">
          <cell r="B483">
            <v>41183</v>
          </cell>
          <cell r="C483">
            <v>18735.5089601445</v>
          </cell>
          <cell r="D483">
            <v>13764.8222471362</v>
          </cell>
        </row>
        <row r="484">
          <cell r="B484">
            <v>41214</v>
          </cell>
          <cell r="C484">
            <v>18774.5412704781</v>
          </cell>
          <cell r="D484">
            <v>13793.4989601511</v>
          </cell>
        </row>
        <row r="485">
          <cell r="B485">
            <v>41244</v>
          </cell>
          <cell r="C485">
            <v>18813.654898125</v>
          </cell>
          <cell r="D485">
            <v>13822.2354163181</v>
          </cell>
        </row>
        <row r="486">
          <cell r="B486">
            <v>41275</v>
          </cell>
          <cell r="C486">
            <v>18852.8500124961</v>
          </cell>
          <cell r="D486">
            <v>13851.0317401021</v>
          </cell>
        </row>
        <row r="487">
          <cell r="B487">
            <v>41306</v>
          </cell>
          <cell r="C487">
            <v>18892.1267833554</v>
          </cell>
          <cell r="D487">
            <v>13879.8880562273</v>
          </cell>
        </row>
        <row r="488">
          <cell r="B488">
            <v>41334</v>
          </cell>
          <cell r="C488">
            <v>18931.4853808207</v>
          </cell>
          <cell r="D488">
            <v>13908.8044896778</v>
          </cell>
        </row>
        <row r="489">
          <cell r="B489">
            <v>41365</v>
          </cell>
          <cell r="C489">
            <v>18970.9259753641</v>
          </cell>
          <cell r="D489">
            <v>13937.7811656979</v>
          </cell>
        </row>
        <row r="490">
          <cell r="B490">
            <v>41395</v>
          </cell>
          <cell r="C490">
            <v>19010.4487378128</v>
          </cell>
          <cell r="D490">
            <v>13966.8182097932</v>
          </cell>
        </row>
        <row r="491">
          <cell r="B491">
            <v>41426</v>
          </cell>
          <cell r="C491">
            <v>19050.0538393499</v>
          </cell>
          <cell r="D491">
            <v>13995.9157477302</v>
          </cell>
        </row>
        <row r="492">
          <cell r="B492">
            <v>41456</v>
          </cell>
          <cell r="C492">
            <v>19089.7414515152</v>
          </cell>
          <cell r="D492">
            <v>14025.073905538</v>
          </cell>
        </row>
        <row r="493">
          <cell r="B493">
            <v>41487</v>
          </cell>
          <cell r="C493">
            <v>19129.5117462059</v>
          </cell>
          <cell r="D493">
            <v>14054.2928095079</v>
          </cell>
        </row>
        <row r="494">
          <cell r="B494">
            <v>41518</v>
          </cell>
          <cell r="C494">
            <v>19169.3648956772</v>
          </cell>
          <cell r="D494">
            <v>14083.5725861943</v>
          </cell>
        </row>
        <row r="495">
          <cell r="B495">
            <v>41548</v>
          </cell>
          <cell r="C495">
            <v>19209.3010725431</v>
          </cell>
          <cell r="D495">
            <v>14112.9133624156</v>
          </cell>
        </row>
        <row r="496">
          <cell r="B496">
            <v>41579</v>
          </cell>
          <cell r="C496">
            <v>19249.3204497776</v>
          </cell>
          <cell r="D496">
            <v>14142.3152652539</v>
          </cell>
        </row>
        <row r="497">
          <cell r="B497">
            <v>41609</v>
          </cell>
          <cell r="C497">
            <v>19289.4232007147</v>
          </cell>
          <cell r="D497">
            <v>14171.7784220566</v>
          </cell>
        </row>
        <row r="498">
          <cell r="B498">
            <v>41640</v>
          </cell>
          <cell r="C498">
            <v>19329.6094990495</v>
          </cell>
          <cell r="D498">
            <v>14201.3029604358</v>
          </cell>
        </row>
        <row r="499">
          <cell r="B499">
            <v>41671</v>
          </cell>
          <cell r="C499">
            <v>19369.8795188392</v>
          </cell>
          <cell r="D499">
            <v>14230.8890082701</v>
          </cell>
        </row>
        <row r="500">
          <cell r="B500">
            <v>41699</v>
          </cell>
          <cell r="C500">
            <v>19410.2334345034</v>
          </cell>
          <cell r="D500">
            <v>14260.536693704</v>
          </cell>
        </row>
        <row r="501">
          <cell r="B501">
            <v>41730</v>
          </cell>
          <cell r="C501">
            <v>19450.6714208253</v>
          </cell>
          <cell r="D501">
            <v>14290.2461451492</v>
          </cell>
        </row>
        <row r="502">
          <cell r="B502">
            <v>41760</v>
          </cell>
          <cell r="C502">
            <v>19491.193652952</v>
          </cell>
          <cell r="D502">
            <v>14320.0174912849</v>
          </cell>
        </row>
        <row r="503">
          <cell r="B503">
            <v>41791</v>
          </cell>
          <cell r="C503">
            <v>19531.8003063957</v>
          </cell>
          <cell r="D503">
            <v>14349.8508610584</v>
          </cell>
        </row>
        <row r="504">
          <cell r="B504">
            <v>41821</v>
          </cell>
          <cell r="C504">
            <v>19572.491557034</v>
          </cell>
          <cell r="D504">
            <v>14379.7463836857</v>
          </cell>
        </row>
        <row r="505">
          <cell r="B505">
            <v>41852</v>
          </cell>
          <cell r="C505">
            <v>19613.2675811112</v>
          </cell>
          <cell r="D505">
            <v>14409.7041886517</v>
          </cell>
        </row>
        <row r="506">
          <cell r="B506">
            <v>41883</v>
          </cell>
          <cell r="C506">
            <v>19654.1285552385</v>
          </cell>
          <cell r="D506">
            <v>14439.7244057114</v>
          </cell>
        </row>
        <row r="507">
          <cell r="B507">
            <v>41913</v>
          </cell>
          <cell r="C507">
            <v>19695.0746563952</v>
          </cell>
          <cell r="D507">
            <v>14469.8071648899</v>
          </cell>
        </row>
        <row r="508">
          <cell r="B508">
            <v>41944</v>
          </cell>
          <cell r="C508">
            <v>19736.1060619294</v>
          </cell>
          <cell r="D508">
            <v>14499.9525964835</v>
          </cell>
        </row>
        <row r="509">
          <cell r="B509">
            <v>41974</v>
          </cell>
          <cell r="C509">
            <v>19777.2229495584</v>
          </cell>
          <cell r="D509">
            <v>14530.1608310595</v>
          </cell>
        </row>
        <row r="510">
          <cell r="B510">
            <v>42005</v>
          </cell>
          <cell r="C510">
            <v>19818.42549737</v>
          </cell>
          <cell r="D510">
            <v>14560.4319994575</v>
          </cell>
        </row>
        <row r="511">
          <cell r="B511">
            <v>42036</v>
          </cell>
          <cell r="C511">
            <v>19859.7138838228</v>
          </cell>
          <cell r="D511">
            <v>14590.7662327897</v>
          </cell>
        </row>
        <row r="512">
          <cell r="B512">
            <v>42064</v>
          </cell>
          <cell r="C512">
            <v>19901.0882877475</v>
          </cell>
          <cell r="D512">
            <v>14621.1636624414</v>
          </cell>
        </row>
        <row r="513">
          <cell r="B513">
            <v>42095</v>
          </cell>
          <cell r="C513">
            <v>19942.548888347</v>
          </cell>
          <cell r="D513">
            <v>14651.6244200714</v>
          </cell>
        </row>
        <row r="514">
          <cell r="B514">
            <v>42125</v>
          </cell>
          <cell r="C514">
            <v>19984.0958651977</v>
          </cell>
          <cell r="D514">
            <v>14682.1486376133</v>
          </cell>
        </row>
        <row r="515">
          <cell r="B515">
            <v>42156</v>
          </cell>
          <cell r="C515">
            <v>20025.7293982502</v>
          </cell>
          <cell r="D515">
            <v>14712.736447275</v>
          </cell>
        </row>
        <row r="516">
          <cell r="B516">
            <v>42186</v>
          </cell>
          <cell r="C516">
            <v>20067.4496678299</v>
          </cell>
          <cell r="D516">
            <v>14743.3879815401</v>
          </cell>
        </row>
        <row r="517">
          <cell r="B517">
            <v>42217</v>
          </cell>
          <cell r="C517">
            <v>20109.2568546378</v>
          </cell>
          <cell r="D517">
            <v>14774.1033731683</v>
          </cell>
        </row>
        <row r="518">
          <cell r="B518">
            <v>42248</v>
          </cell>
          <cell r="C518">
            <v>20151.1511397517</v>
          </cell>
          <cell r="D518">
            <v>14804.8827551958</v>
          </cell>
        </row>
        <row r="519">
          <cell r="B519">
            <v>42278</v>
          </cell>
          <cell r="C519">
            <v>20193.1327046262</v>
          </cell>
          <cell r="D519">
            <v>14835.7262609357</v>
          </cell>
        </row>
        <row r="520">
          <cell r="B520">
            <v>42309</v>
          </cell>
          <cell r="C520">
            <v>20235.2017310941</v>
          </cell>
          <cell r="D520">
            <v>14866.6340239794</v>
          </cell>
        </row>
        <row r="521">
          <cell r="B521">
            <v>42339</v>
          </cell>
          <cell r="C521">
            <v>20277.3584013672</v>
          </cell>
          <cell r="D521">
            <v>14897.606178196</v>
          </cell>
        </row>
        <row r="522">
          <cell r="B522">
            <v>42370</v>
          </cell>
          <cell r="C522">
            <v>20319.6028980368</v>
          </cell>
          <cell r="D522">
            <v>14928.6428577339</v>
          </cell>
        </row>
        <row r="523">
          <cell r="B523">
            <v>42401</v>
          </cell>
          <cell r="C523">
            <v>20361.9354040743</v>
          </cell>
          <cell r="D523">
            <v>14959.7441970208</v>
          </cell>
        </row>
        <row r="524">
          <cell r="B524">
            <v>42430</v>
          </cell>
          <cell r="C524">
            <v>20404.3561028328</v>
          </cell>
          <cell r="D524">
            <v>14990.9103307646</v>
          </cell>
        </row>
        <row r="525">
          <cell r="B525">
            <v>42461</v>
          </cell>
          <cell r="C525">
            <v>20446.8651780471</v>
          </cell>
          <cell r="D525">
            <v>15022.1413939537</v>
          </cell>
        </row>
        <row r="526">
          <cell r="B526">
            <v>42491</v>
          </cell>
          <cell r="C526">
            <v>20489.4628138347</v>
          </cell>
          <cell r="D526">
            <v>15053.4375218578</v>
          </cell>
        </row>
        <row r="527">
          <cell r="B527">
            <v>42522</v>
          </cell>
          <cell r="C527">
            <v>20532.1491946968</v>
          </cell>
          <cell r="D527">
            <v>15084.7988500283</v>
          </cell>
        </row>
        <row r="528">
          <cell r="B528">
            <v>42552</v>
          </cell>
          <cell r="C528">
            <v>20574.9245055191</v>
          </cell>
          <cell r="D528">
            <v>15116.2255142992</v>
          </cell>
        </row>
        <row r="529">
          <cell r="B529">
            <v>42583</v>
          </cell>
          <cell r="C529">
            <v>20617.7889315723</v>
          </cell>
          <cell r="D529">
            <v>15147.7176507874</v>
          </cell>
        </row>
        <row r="530">
          <cell r="B530">
            <v>42614</v>
          </cell>
          <cell r="C530">
            <v>20660.7426585131</v>
          </cell>
          <cell r="D530">
            <v>15179.2753958932</v>
          </cell>
        </row>
        <row r="531">
          <cell r="B531">
            <v>42644</v>
          </cell>
          <cell r="C531">
            <v>20703.785872385</v>
          </cell>
          <cell r="D531">
            <v>15210.8988863013</v>
          </cell>
        </row>
        <row r="532">
          <cell r="B532">
            <v>42675</v>
          </cell>
          <cell r="C532">
            <v>20746.9187596191</v>
          </cell>
          <cell r="D532">
            <v>15242.5882589811</v>
          </cell>
        </row>
        <row r="533">
          <cell r="B533">
            <v>42705</v>
          </cell>
          <cell r="C533">
            <v>20790.141507035</v>
          </cell>
          <cell r="D533">
            <v>15274.3436511873</v>
          </cell>
        </row>
        <row r="534">
          <cell r="B534">
            <v>42736</v>
          </cell>
          <cell r="C534">
            <v>20833.4543018413</v>
          </cell>
          <cell r="D534">
            <v>15306.1652004606</v>
          </cell>
        </row>
        <row r="535">
          <cell r="B535">
            <v>42767</v>
          </cell>
          <cell r="C535">
            <v>20876.8573316368</v>
          </cell>
          <cell r="D535">
            <v>15338.0530446282</v>
          </cell>
        </row>
        <row r="536">
          <cell r="B536">
            <v>42795</v>
          </cell>
          <cell r="C536">
            <v>20920.3507844111</v>
          </cell>
          <cell r="D536">
            <v>15370.0073218045</v>
          </cell>
        </row>
        <row r="537">
          <cell r="B537">
            <v>42826</v>
          </cell>
          <cell r="C537">
            <v>20963.9348485452</v>
          </cell>
          <cell r="D537">
            <v>15402.0281703916</v>
          </cell>
        </row>
        <row r="538">
          <cell r="B538">
            <v>42856</v>
          </cell>
          <cell r="C538">
            <v>21007.609712813</v>
          </cell>
          <cell r="D538">
            <v>15434.11572908</v>
          </cell>
        </row>
        <row r="539">
          <cell r="B539">
            <v>42887</v>
          </cell>
          <cell r="C539">
            <v>21051.3755663814</v>
          </cell>
          <cell r="D539">
            <v>15466.2701368489</v>
          </cell>
        </row>
        <row r="540">
          <cell r="B540">
            <v>42917</v>
          </cell>
          <cell r="C540">
            <v>21095.2325988114</v>
          </cell>
          <cell r="D540">
            <v>15498.4915329673</v>
          </cell>
        </row>
        <row r="541">
          <cell r="B541">
            <v>42948</v>
          </cell>
          <cell r="C541">
            <v>21139.1810000589</v>
          </cell>
          <cell r="D541">
            <v>15530.7800569943</v>
          </cell>
        </row>
        <row r="542">
          <cell r="B542">
            <v>42979</v>
          </cell>
          <cell r="C542">
            <v>21183.2209604757</v>
          </cell>
          <cell r="D542">
            <v>15563.1358487797</v>
          </cell>
        </row>
        <row r="543">
          <cell r="B543">
            <v>43009</v>
          </cell>
          <cell r="C543">
            <v>21227.35267081</v>
          </cell>
          <cell r="D543">
            <v>15595.5590484647</v>
          </cell>
        </row>
        <row r="544">
          <cell r="B544">
            <v>43040</v>
          </cell>
          <cell r="C544">
            <v>21271.5763222075</v>
          </cell>
          <cell r="D544">
            <v>15628.0497964823</v>
          </cell>
        </row>
        <row r="545">
          <cell r="B545">
            <v>43070</v>
          </cell>
          <cell r="C545">
            <v>21315.8921062121</v>
          </cell>
          <cell r="D545">
            <v>15660.6082335583</v>
          </cell>
        </row>
        <row r="546">
          <cell r="B546">
            <v>43101</v>
          </cell>
          <cell r="C546">
            <v>0</v>
          </cell>
          <cell r="D546">
            <v>15693.2345007116</v>
          </cell>
        </row>
        <row r="547">
          <cell r="B547">
            <v>43132</v>
          </cell>
          <cell r="C547">
            <v>0</v>
          </cell>
          <cell r="D547">
            <v>15725.9287392547</v>
          </cell>
        </row>
        <row r="548">
          <cell r="B548">
            <v>43160</v>
          </cell>
          <cell r="C548">
            <v>0</v>
          </cell>
          <cell r="D548">
            <v>15758.6910907948</v>
          </cell>
        </row>
        <row r="549">
          <cell r="B549">
            <v>43191</v>
          </cell>
          <cell r="C549">
            <v>0</v>
          </cell>
          <cell r="D549">
            <v>15791.521697234</v>
          </cell>
        </row>
        <row r="550">
          <cell r="B550">
            <v>43221</v>
          </cell>
          <cell r="C550">
            <v>0</v>
          </cell>
          <cell r="D550">
            <v>15824.4207007699</v>
          </cell>
        </row>
        <row r="551">
          <cell r="B551">
            <v>43252</v>
          </cell>
          <cell r="C551">
            <v>0</v>
          </cell>
          <cell r="D551">
            <v>15857.3882438965</v>
          </cell>
        </row>
        <row r="552">
          <cell r="B552">
            <v>43282</v>
          </cell>
          <cell r="C552">
            <v>0</v>
          </cell>
          <cell r="D552">
            <v>15890.4244694046</v>
          </cell>
        </row>
        <row r="553">
          <cell r="B553">
            <v>43313</v>
          </cell>
          <cell r="C553">
            <v>0</v>
          </cell>
          <cell r="D553">
            <v>15923.5295203826</v>
          </cell>
        </row>
        <row r="554">
          <cell r="B554">
            <v>43344</v>
          </cell>
          <cell r="C554">
            <v>0</v>
          </cell>
          <cell r="D554">
            <v>15956.7035402167</v>
          </cell>
        </row>
        <row r="555">
          <cell r="B555">
            <v>43374</v>
          </cell>
          <cell r="C555">
            <v>0</v>
          </cell>
          <cell r="D555">
            <v>15989.9466725921</v>
          </cell>
        </row>
        <row r="556">
          <cell r="B556">
            <v>43405</v>
          </cell>
          <cell r="C556">
            <v>0</v>
          </cell>
          <cell r="D556">
            <v>16023.2590614934</v>
          </cell>
        </row>
        <row r="557">
          <cell r="B557">
            <v>43435</v>
          </cell>
          <cell r="C557">
            <v>0</v>
          </cell>
          <cell r="D557">
            <v>16056.6408512048</v>
          </cell>
        </row>
        <row r="558">
          <cell r="B558">
            <v>43466</v>
          </cell>
          <cell r="C558">
            <v>0</v>
          </cell>
          <cell r="D558">
            <v>16090.0921863115</v>
          </cell>
        </row>
        <row r="559">
          <cell r="B559">
            <v>43497</v>
          </cell>
          <cell r="C559">
            <v>0</v>
          </cell>
          <cell r="D559">
            <v>16123.6132116997</v>
          </cell>
        </row>
        <row r="560">
          <cell r="B560">
            <v>43525</v>
          </cell>
          <cell r="C560">
            <v>0</v>
          </cell>
          <cell r="D560">
            <v>16157.2040725574</v>
          </cell>
        </row>
        <row r="561">
          <cell r="B561">
            <v>43556</v>
          </cell>
          <cell r="C561">
            <v>0</v>
          </cell>
          <cell r="D561">
            <v>16190.8649143752</v>
          </cell>
        </row>
        <row r="562">
          <cell r="B562">
            <v>43586</v>
          </cell>
          <cell r="C562">
            <v>0</v>
          </cell>
          <cell r="D562">
            <v>16224.5958829468</v>
          </cell>
        </row>
        <row r="563">
          <cell r="B563">
            <v>43617</v>
          </cell>
          <cell r="C563">
            <v>0</v>
          </cell>
          <cell r="D563">
            <v>16258.3971243696</v>
          </cell>
        </row>
        <row r="564">
          <cell r="B564">
            <v>43647</v>
          </cell>
          <cell r="C564">
            <v>0</v>
          </cell>
          <cell r="D564">
            <v>16292.2687850454</v>
          </cell>
        </row>
        <row r="565">
          <cell r="B565">
            <v>43678</v>
          </cell>
          <cell r="C565">
            <v>0</v>
          </cell>
          <cell r="D565">
            <v>16326.2110116809</v>
          </cell>
        </row>
        <row r="566">
          <cell r="B566">
            <v>43709</v>
          </cell>
          <cell r="C566">
            <v>0</v>
          </cell>
          <cell r="D566">
            <v>16360.2239512886</v>
          </cell>
        </row>
        <row r="567">
          <cell r="B567">
            <v>43739</v>
          </cell>
          <cell r="C567">
            <v>0</v>
          </cell>
          <cell r="D567">
            <v>16394.3077511871</v>
          </cell>
        </row>
        <row r="568">
          <cell r="B568">
            <v>43770</v>
          </cell>
          <cell r="C568">
            <v>0</v>
          </cell>
          <cell r="D568">
            <v>16428.4625590021</v>
          </cell>
        </row>
        <row r="569">
          <cell r="B569">
            <v>43800</v>
          </cell>
          <cell r="C569">
            <v>0</v>
          </cell>
          <cell r="D569">
            <v>16462.6885226667</v>
          </cell>
        </row>
        <row r="570">
          <cell r="B570">
            <v>43831</v>
          </cell>
          <cell r="C570">
            <v>0</v>
          </cell>
          <cell r="D570">
            <v>16496.9857904222</v>
          </cell>
        </row>
        <row r="571">
          <cell r="B571">
            <v>43862</v>
          </cell>
          <cell r="C571">
            <v>0</v>
          </cell>
          <cell r="D571">
            <v>16531.3545108189</v>
          </cell>
        </row>
        <row r="572">
          <cell r="B572">
            <v>43891</v>
          </cell>
          <cell r="C572">
            <v>0</v>
          </cell>
          <cell r="D572">
            <v>16565.7948327165</v>
          </cell>
        </row>
        <row r="573">
          <cell r="B573">
            <v>43922</v>
          </cell>
          <cell r="C573">
            <v>0</v>
          </cell>
          <cell r="D573">
            <v>16600.3069052846</v>
          </cell>
        </row>
        <row r="574">
          <cell r="B574">
            <v>43952</v>
          </cell>
          <cell r="C574">
            <v>0</v>
          </cell>
          <cell r="D574">
            <v>16634.890878004</v>
          </cell>
        </row>
        <row r="575">
          <cell r="B575">
            <v>43983</v>
          </cell>
          <cell r="C575">
            <v>0</v>
          </cell>
          <cell r="D575">
            <v>16669.5469006665</v>
          </cell>
        </row>
        <row r="576">
          <cell r="B576">
            <v>44013</v>
          </cell>
          <cell r="C576">
            <v>0</v>
          </cell>
          <cell r="D576">
            <v>16704.2751233762</v>
          </cell>
        </row>
        <row r="577">
          <cell r="B577">
            <v>44044</v>
          </cell>
          <cell r="C577">
            <v>0</v>
          </cell>
          <cell r="D577">
            <v>16739.0756965499</v>
          </cell>
        </row>
        <row r="578">
          <cell r="B578">
            <v>44075</v>
          </cell>
          <cell r="C578">
            <v>0</v>
          </cell>
          <cell r="D578">
            <v>16773.9487709177</v>
          </cell>
        </row>
        <row r="579">
          <cell r="B579">
            <v>44105</v>
          </cell>
          <cell r="C579">
            <v>0</v>
          </cell>
          <cell r="D579">
            <v>16808.8944975238</v>
          </cell>
        </row>
        <row r="580">
          <cell r="B580">
            <v>44136</v>
          </cell>
          <cell r="C580">
            <v>0</v>
          </cell>
          <cell r="D580">
            <v>16843.913027727</v>
          </cell>
        </row>
        <row r="581">
          <cell r="B581">
            <v>44166</v>
          </cell>
          <cell r="C581">
            <v>0</v>
          </cell>
          <cell r="D581">
            <v>16879.0045132014</v>
          </cell>
        </row>
        <row r="582">
          <cell r="B582">
            <v>44197</v>
          </cell>
          <cell r="C582">
            <v>0</v>
          </cell>
          <cell r="D582">
            <v>16914.1691059373</v>
          </cell>
        </row>
        <row r="583">
          <cell r="B583">
            <v>44228</v>
          </cell>
          <cell r="C583">
            <v>0</v>
          </cell>
          <cell r="D583">
            <v>16949.4069582413</v>
          </cell>
        </row>
        <row r="584">
          <cell r="B584">
            <v>44256</v>
          </cell>
          <cell r="C584">
            <v>0</v>
          </cell>
          <cell r="D584">
            <v>16984.7182227376</v>
          </cell>
        </row>
        <row r="585">
          <cell r="B585">
            <v>44287</v>
          </cell>
          <cell r="C585">
            <v>0</v>
          </cell>
          <cell r="D585">
            <v>17020.1030523683</v>
          </cell>
        </row>
        <row r="586">
          <cell r="B586">
            <v>44317</v>
          </cell>
          <cell r="C586">
            <v>0</v>
          </cell>
          <cell r="D586">
            <v>17055.5616003941</v>
          </cell>
        </row>
        <row r="587">
          <cell r="B587">
            <v>44348</v>
          </cell>
          <cell r="C587">
            <v>0</v>
          </cell>
          <cell r="D587">
            <v>17091.0940203949</v>
          </cell>
        </row>
        <row r="588">
          <cell r="B588">
            <v>44378</v>
          </cell>
          <cell r="C588">
            <v>0</v>
          </cell>
          <cell r="D588">
            <v>17126.7004662708</v>
          </cell>
        </row>
        <row r="589">
          <cell r="B589">
            <v>44409</v>
          </cell>
          <cell r="C589">
            <v>0</v>
          </cell>
          <cell r="D589">
            <v>17162.3810922422</v>
          </cell>
        </row>
        <row r="590">
          <cell r="B590">
            <v>44440</v>
          </cell>
          <cell r="C590">
            <v>0</v>
          </cell>
          <cell r="D590">
            <v>17198.136052851</v>
          </cell>
        </row>
        <row r="591">
          <cell r="B591">
            <v>44470</v>
          </cell>
          <cell r="C591">
            <v>0</v>
          </cell>
          <cell r="D591">
            <v>17233.9655029611</v>
          </cell>
        </row>
        <row r="592">
          <cell r="B592">
            <v>44501</v>
          </cell>
          <cell r="C592">
            <v>0</v>
          </cell>
          <cell r="D592">
            <v>17269.8695977589</v>
          </cell>
        </row>
        <row r="593">
          <cell r="B593">
            <v>44531</v>
          </cell>
          <cell r="C593">
            <v>0</v>
          </cell>
          <cell r="D593">
            <v>17305.8484927543</v>
          </cell>
        </row>
        <row r="594">
          <cell r="B594">
            <v>44562</v>
          </cell>
          <cell r="C594">
            <v>0</v>
          </cell>
          <cell r="D594">
            <v>17341.9023437808</v>
          </cell>
        </row>
        <row r="595">
          <cell r="B595">
            <v>44593</v>
          </cell>
          <cell r="C595">
            <v>0</v>
          </cell>
          <cell r="D595">
            <v>17378.0313069971</v>
          </cell>
        </row>
        <row r="596">
          <cell r="B596">
            <v>44621</v>
          </cell>
          <cell r="C596">
            <v>0</v>
          </cell>
          <cell r="D596">
            <v>17414.2355388866</v>
          </cell>
        </row>
        <row r="597">
          <cell r="B597">
            <v>44652</v>
          </cell>
          <cell r="C597">
            <v>0</v>
          </cell>
          <cell r="D597">
            <v>17450.5151962593</v>
          </cell>
        </row>
        <row r="598">
          <cell r="B598">
            <v>44682</v>
          </cell>
          <cell r="C598">
            <v>0</v>
          </cell>
          <cell r="D598">
            <v>17486.8704362515</v>
          </cell>
        </row>
        <row r="599">
          <cell r="B599">
            <v>44713</v>
          </cell>
          <cell r="C599">
            <v>0</v>
          </cell>
          <cell r="D599">
            <v>17523.3014163271</v>
          </cell>
        </row>
        <row r="600">
          <cell r="B600">
            <v>44743</v>
          </cell>
          <cell r="C600">
            <v>0</v>
          </cell>
          <cell r="D600">
            <v>17559.8082942777</v>
          </cell>
        </row>
        <row r="601">
          <cell r="B601">
            <v>44774</v>
          </cell>
          <cell r="C601">
            <v>0</v>
          </cell>
          <cell r="D601">
            <v>17596.3912282242</v>
          </cell>
        </row>
        <row r="602">
          <cell r="B602">
            <v>44805</v>
          </cell>
          <cell r="C602">
            <v>0</v>
          </cell>
          <cell r="D602">
            <v>17633.0503766163</v>
          </cell>
        </row>
        <row r="603">
          <cell r="B603">
            <v>44835</v>
          </cell>
          <cell r="C603">
            <v>0</v>
          </cell>
          <cell r="D603">
            <v>17669.7858982342</v>
          </cell>
        </row>
        <row r="604">
          <cell r="B604">
            <v>44866</v>
          </cell>
          <cell r="C604">
            <v>0</v>
          </cell>
          <cell r="D604">
            <v>17706.5979521889</v>
          </cell>
        </row>
        <row r="605">
          <cell r="B605">
            <v>44896</v>
          </cell>
          <cell r="C605">
            <v>0</v>
          </cell>
          <cell r="D605">
            <v>17743.4866979226</v>
          </cell>
        </row>
        <row r="606">
          <cell r="B606">
            <v>44927</v>
          </cell>
          <cell r="C606">
            <v>0</v>
          </cell>
          <cell r="D606">
            <v>17780.45229521</v>
          </cell>
        </row>
        <row r="607">
          <cell r="B607">
            <v>44958</v>
          </cell>
          <cell r="C607">
            <v>0</v>
          </cell>
          <cell r="D607">
            <v>17817.4949041583</v>
          </cell>
        </row>
        <row r="608">
          <cell r="B608">
            <v>44986</v>
          </cell>
          <cell r="C608">
            <v>0</v>
          </cell>
          <cell r="D608">
            <v>17854.6146852087</v>
          </cell>
        </row>
        <row r="609">
          <cell r="B609">
            <v>45017</v>
          </cell>
          <cell r="C609">
            <v>0</v>
          </cell>
          <cell r="D609">
            <v>17891.8117991362</v>
          </cell>
        </row>
        <row r="610">
          <cell r="B610">
            <v>45047</v>
          </cell>
          <cell r="C610">
            <v>0</v>
          </cell>
          <cell r="D610">
            <v>17929.086407051</v>
          </cell>
        </row>
        <row r="611">
          <cell r="B611">
            <v>45078</v>
          </cell>
          <cell r="C611">
            <v>0</v>
          </cell>
          <cell r="D611">
            <v>17966.4386703991</v>
          </cell>
        </row>
        <row r="612">
          <cell r="B612">
            <v>45108</v>
          </cell>
          <cell r="C612">
            <v>0</v>
          </cell>
          <cell r="D612">
            <v>18003.8687509624</v>
          </cell>
        </row>
        <row r="613">
          <cell r="B613">
            <v>45139</v>
          </cell>
          <cell r="C613">
            <v>0</v>
          </cell>
          <cell r="D613">
            <v>18041.3768108602</v>
          </cell>
        </row>
        <row r="614">
          <cell r="B614">
            <v>45170</v>
          </cell>
          <cell r="C614">
            <v>0</v>
          </cell>
          <cell r="D614">
            <v>18078.9630125495</v>
          </cell>
        </row>
        <row r="615">
          <cell r="B615">
            <v>45200</v>
          </cell>
          <cell r="C615">
            <v>0</v>
          </cell>
          <cell r="D615">
            <v>18116.6275188257</v>
          </cell>
        </row>
        <row r="616">
          <cell r="B616">
            <v>45231</v>
          </cell>
          <cell r="C616">
            <v>0</v>
          </cell>
          <cell r="D616">
            <v>18154.3704928232</v>
          </cell>
        </row>
        <row r="617">
          <cell r="B617">
            <v>45261</v>
          </cell>
          <cell r="C617">
            <v>0</v>
          </cell>
          <cell r="D617">
            <v>18192.1920980166</v>
          </cell>
        </row>
        <row r="618">
          <cell r="B618">
            <v>45292</v>
          </cell>
          <cell r="C618">
            <v>0</v>
          </cell>
          <cell r="D618">
            <v>18230.0924982208</v>
          </cell>
        </row>
        <row r="619">
          <cell r="B619">
            <v>45323</v>
          </cell>
          <cell r="C619">
            <v>0</v>
          </cell>
          <cell r="D619">
            <v>18268.0718575921</v>
          </cell>
        </row>
        <row r="620">
          <cell r="B620">
            <v>45352</v>
          </cell>
          <cell r="C620">
            <v>0</v>
          </cell>
          <cell r="D620">
            <v>18306.1303406288</v>
          </cell>
        </row>
        <row r="621">
          <cell r="B621">
            <v>45383</v>
          </cell>
          <cell r="C621">
            <v>0</v>
          </cell>
          <cell r="D621">
            <v>18344.2681121717</v>
          </cell>
        </row>
        <row r="622">
          <cell r="B622">
            <v>45413</v>
          </cell>
          <cell r="C622">
            <v>0</v>
          </cell>
          <cell r="D622">
            <v>18382.4853374054</v>
          </cell>
        </row>
        <row r="623">
          <cell r="B623">
            <v>45444</v>
          </cell>
          <cell r="C623">
            <v>0</v>
          </cell>
          <cell r="D623">
            <v>18420.7821818584</v>
          </cell>
        </row>
        <row r="624">
          <cell r="B624">
            <v>45474</v>
          </cell>
          <cell r="C624">
            <v>0</v>
          </cell>
          <cell r="D624">
            <v>18459.1588114039</v>
          </cell>
        </row>
        <row r="625">
          <cell r="B625">
            <v>45505</v>
          </cell>
          <cell r="C625">
            <v>0</v>
          </cell>
          <cell r="D625">
            <v>18497.615392261</v>
          </cell>
        </row>
        <row r="626">
          <cell r="B626">
            <v>45536</v>
          </cell>
          <cell r="C626">
            <v>0</v>
          </cell>
          <cell r="D626">
            <v>18536.1520909949</v>
          </cell>
        </row>
        <row r="627">
          <cell r="B627">
            <v>45566</v>
          </cell>
          <cell r="C627">
            <v>0</v>
          </cell>
          <cell r="D627">
            <v>18574.7690745178</v>
          </cell>
        </row>
        <row r="628">
          <cell r="B628">
            <v>45597</v>
          </cell>
          <cell r="C628">
            <v>0</v>
          </cell>
          <cell r="D628">
            <v>18613.4665100897</v>
          </cell>
        </row>
        <row r="629">
          <cell r="B629">
            <v>45627</v>
          </cell>
          <cell r="C629">
            <v>0</v>
          </cell>
          <cell r="D629">
            <v>18652.2445653191</v>
          </cell>
        </row>
        <row r="630">
          <cell r="B630">
            <v>45658</v>
          </cell>
          <cell r="C630">
            <v>0</v>
          </cell>
          <cell r="D630">
            <v>18691.1034081635</v>
          </cell>
        </row>
        <row r="631">
          <cell r="B631">
            <v>45689</v>
          </cell>
          <cell r="C631">
            <v>0</v>
          </cell>
          <cell r="D631">
            <v>18730.0432069305</v>
          </cell>
        </row>
        <row r="632">
          <cell r="B632">
            <v>45717</v>
          </cell>
          <cell r="C632">
            <v>0</v>
          </cell>
          <cell r="D632">
            <v>18769.0641302783</v>
          </cell>
        </row>
        <row r="633">
          <cell r="B633">
            <v>45748</v>
          </cell>
          <cell r="C633">
            <v>0</v>
          </cell>
          <cell r="D633">
            <v>18808.1663472163</v>
          </cell>
        </row>
        <row r="634">
          <cell r="B634">
            <v>45778</v>
          </cell>
          <cell r="C634">
            <v>0</v>
          </cell>
          <cell r="D634">
            <v>18847.3500271064</v>
          </cell>
        </row>
        <row r="635">
          <cell r="B635">
            <v>45809</v>
          </cell>
          <cell r="C635">
            <v>0</v>
          </cell>
          <cell r="D635">
            <v>18886.6153396628</v>
          </cell>
        </row>
        <row r="636">
          <cell r="B636">
            <v>45839</v>
          </cell>
          <cell r="C636">
            <v>0</v>
          </cell>
          <cell r="D636">
            <v>18925.9624549538</v>
          </cell>
        </row>
        <row r="637">
          <cell r="B637">
            <v>45870</v>
          </cell>
          <cell r="C637">
            <v>0</v>
          </cell>
          <cell r="D637">
            <v>18965.3915434016</v>
          </cell>
        </row>
        <row r="638">
          <cell r="B638">
            <v>45901</v>
          </cell>
          <cell r="C638">
            <v>0</v>
          </cell>
          <cell r="D638">
            <v>19004.9027757837</v>
          </cell>
        </row>
        <row r="639">
          <cell r="B639">
            <v>45931</v>
          </cell>
          <cell r="C639">
            <v>0</v>
          </cell>
          <cell r="D639">
            <v>19044.4963232333</v>
          </cell>
        </row>
        <row r="640">
          <cell r="B640">
            <v>45962</v>
          </cell>
          <cell r="C640">
            <v>0</v>
          </cell>
          <cell r="D640">
            <v>19084.17235724</v>
          </cell>
        </row>
        <row r="641">
          <cell r="B641">
            <v>45992</v>
          </cell>
          <cell r="C641">
            <v>0</v>
          </cell>
          <cell r="D641">
            <v>19123.9310496509</v>
          </cell>
        </row>
        <row r="642">
          <cell r="B642">
            <v>46023</v>
          </cell>
        </row>
      </sheetData>
      <sheetData sheetId="5">
        <row r="5">
          <cell r="A5" t="str">
            <v>SHIP--------------------------&gt;</v>
          </cell>
        </row>
        <row r="5">
          <cell r="C5" t="str">
            <v>HG</v>
          </cell>
          <cell r="D5" t="str">
            <v>EXMAR</v>
          </cell>
        </row>
        <row r="6">
          <cell r="A6" t="str">
            <v>COSTS</v>
          </cell>
        </row>
        <row r="6"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</row>
        <row r="7">
          <cell r="A7" t="str">
            <v>OTHER COSTS*** per loaded mmbtu</v>
          </cell>
        </row>
        <row r="7">
          <cell r="C7">
            <v>0.0075</v>
          </cell>
          <cell r="D7">
            <v>0.0075</v>
          </cell>
        </row>
        <row r="9">
          <cell r="A9" t="str">
            <v>  *** INCLUDES:</v>
          </cell>
        </row>
        <row r="10">
          <cell r="A10" t="str">
            <v>-Import Fees .125%xunloaded</v>
          </cell>
        </row>
        <row r="11">
          <cell r="A11" t="str">
            <v>-LC  .25%xFOB value </v>
          </cell>
        </row>
      </sheetData>
      <sheetData sheetId="6"/>
      <sheetData sheetId="7"/>
      <sheetData sheetId="8"/>
      <sheetData sheetId="9"/>
      <sheetData sheetId="10"/>
      <sheetData sheetId="11">
        <row r="5">
          <cell r="C5" t="str">
            <v>Month</v>
          </cell>
          <cell r="D5" t="str">
            <v>AA LIBOR</v>
          </cell>
          <cell r="E5" t="str">
            <v>Percentage</v>
          </cell>
          <cell r="F5" t="str">
            <v>Price</v>
          </cell>
        </row>
        <row r="6">
          <cell r="C6">
            <v>36708</v>
          </cell>
          <cell r="D6">
            <v>1</v>
          </cell>
          <cell r="E6">
            <v>1</v>
          </cell>
          <cell r="F6">
            <v>4.365</v>
          </cell>
        </row>
        <row r="7">
          <cell r="C7">
            <v>36739</v>
          </cell>
          <cell r="D7">
            <v>0.067741348072035</v>
          </cell>
          <cell r="E7">
            <v>1</v>
          </cell>
          <cell r="F7">
            <v>3.715</v>
          </cell>
        </row>
        <row r="8">
          <cell r="C8">
            <v>36770</v>
          </cell>
          <cell r="D8">
            <v>0.068048812714454</v>
          </cell>
          <cell r="E8">
            <v>0.989067710481253</v>
          </cell>
          <cell r="F8">
            <v>3.725</v>
          </cell>
        </row>
        <row r="9">
          <cell r="C9">
            <v>36800</v>
          </cell>
          <cell r="D9">
            <v>0.068307378972657</v>
          </cell>
          <cell r="E9">
            <v>0.98340500553176</v>
          </cell>
          <cell r="F9">
            <v>3.732</v>
          </cell>
        </row>
        <row r="10">
          <cell r="C10">
            <v>36831</v>
          </cell>
          <cell r="D10">
            <v>0.068694480919292</v>
          </cell>
          <cell r="E10">
            <v>0.977873457141034</v>
          </cell>
          <cell r="F10">
            <v>3.815</v>
          </cell>
        </row>
        <row r="11">
          <cell r="C11">
            <v>36861</v>
          </cell>
          <cell r="D11">
            <v>0.068881816359694</v>
          </cell>
          <cell r="E11">
            <v>0.972210616316527</v>
          </cell>
          <cell r="F11">
            <v>3.897</v>
          </cell>
        </row>
        <row r="12">
          <cell r="C12">
            <v>36892</v>
          </cell>
          <cell r="D12">
            <v>0.069111166945366</v>
          </cell>
          <cell r="E12">
            <v>0.966531195439578</v>
          </cell>
          <cell r="F12">
            <v>3.895</v>
          </cell>
        </row>
        <row r="13">
          <cell r="C13">
            <v>36923</v>
          </cell>
          <cell r="D13">
            <v>0.069397154366051</v>
          </cell>
          <cell r="E13">
            <v>0.961356517687001</v>
          </cell>
          <cell r="F13">
            <v>3.74</v>
          </cell>
        </row>
        <row r="14">
          <cell r="C14">
            <v>36951</v>
          </cell>
          <cell r="D14">
            <v>0.069655465607987</v>
          </cell>
          <cell r="E14">
            <v>0.955648188383046</v>
          </cell>
          <cell r="F14">
            <v>3.59</v>
          </cell>
        </row>
        <row r="15">
          <cell r="C15">
            <v>36982</v>
          </cell>
          <cell r="D15">
            <v>0.069880071022267</v>
          </cell>
          <cell r="E15">
            <v>0.95013530659557</v>
          </cell>
          <cell r="F15">
            <v>3.445</v>
          </cell>
        </row>
        <row r="16">
          <cell r="C16">
            <v>37012</v>
          </cell>
          <cell r="D16">
            <v>0.069993204989047</v>
          </cell>
          <cell r="E16">
            <v>0.944526766176113</v>
          </cell>
          <cell r="F16">
            <v>3.414</v>
          </cell>
        </row>
        <row r="17">
          <cell r="C17">
            <v>37043</v>
          </cell>
          <cell r="D17">
            <v>0.070110110092498</v>
          </cell>
          <cell r="E17">
            <v>0.939107945290018</v>
          </cell>
          <cell r="F17">
            <v>3.404</v>
          </cell>
        </row>
        <row r="18">
          <cell r="C18">
            <v>37073</v>
          </cell>
          <cell r="D18">
            <v>0.0702147889035</v>
          </cell>
          <cell r="E18">
            <v>0.93353745551084</v>
          </cell>
          <cell r="F18">
            <v>3.394</v>
          </cell>
        </row>
        <row r="19">
          <cell r="C19">
            <v>37104</v>
          </cell>
          <cell r="D19">
            <v>0.070307065970443</v>
          </cell>
          <cell r="E19">
            <v>0.927996106102846</v>
          </cell>
          <cell r="F19">
            <v>3.394</v>
          </cell>
        </row>
        <row r="20">
          <cell r="C20">
            <v>37135</v>
          </cell>
          <cell r="D20">
            <v>0.070399343040201</v>
          </cell>
          <cell r="E20">
            <v>0.92264845364656</v>
          </cell>
          <cell r="F20">
            <v>3.384</v>
          </cell>
        </row>
        <row r="21">
          <cell r="C21">
            <v>37165</v>
          </cell>
          <cell r="D21">
            <v>0.070478404083171</v>
          </cell>
          <cell r="E21">
            <v>0.91715883353653</v>
          </cell>
          <cell r="F21">
            <v>3.409</v>
          </cell>
        </row>
        <row r="22">
          <cell r="C22">
            <v>37196</v>
          </cell>
          <cell r="D22">
            <v>0.070543334070211</v>
          </cell>
          <cell r="E22">
            <v>0.911879719317419</v>
          </cell>
          <cell r="F22">
            <v>3.525</v>
          </cell>
        </row>
        <row r="23">
          <cell r="C23">
            <v>37226</v>
          </cell>
          <cell r="D23">
            <v>0.070606169542866</v>
          </cell>
          <cell r="E23">
            <v>0.906452024483134</v>
          </cell>
          <cell r="F23">
            <v>3.635</v>
          </cell>
        </row>
        <row r="24">
          <cell r="C24">
            <v>37257</v>
          </cell>
          <cell r="D24">
            <v>0.070674686513092</v>
          </cell>
          <cell r="E24">
            <v>0.90103993721432</v>
          </cell>
          <cell r="F24">
            <v>3.655</v>
          </cell>
        </row>
        <row r="25">
          <cell r="C25">
            <v>37288</v>
          </cell>
          <cell r="D25">
            <v>0.070748170073293</v>
          </cell>
          <cell r="E25">
            <v>0.896154899463482</v>
          </cell>
          <cell r="F25">
            <v>3.52</v>
          </cell>
        </row>
        <row r="26">
          <cell r="C26">
            <v>37316</v>
          </cell>
          <cell r="D26">
            <v>0.070814542322751</v>
          </cell>
          <cell r="E26">
            <v>0.890787473400638</v>
          </cell>
          <cell r="F26">
            <v>3.385</v>
          </cell>
        </row>
        <row r="27">
          <cell r="C27">
            <v>37347</v>
          </cell>
          <cell r="D27">
            <v>0.07086749010135</v>
          </cell>
          <cell r="E27">
            <v>0.885631459695742</v>
          </cell>
          <cell r="F27">
            <v>3.246</v>
          </cell>
        </row>
        <row r="28">
          <cell r="C28">
            <v>37377</v>
          </cell>
          <cell r="D28">
            <v>0.070888552750499</v>
          </cell>
          <cell r="E28">
            <v>0.880379486505834</v>
          </cell>
          <cell r="F28">
            <v>3.211</v>
          </cell>
        </row>
        <row r="29">
          <cell r="C29">
            <v>37408</v>
          </cell>
          <cell r="D29">
            <v>0.070910317488108</v>
          </cell>
          <cell r="E29">
            <v>0.87532147885394</v>
          </cell>
          <cell r="F29">
            <v>3.201</v>
          </cell>
        </row>
        <row r="30">
          <cell r="C30">
            <v>37438</v>
          </cell>
          <cell r="D30">
            <v>0.07092964762038</v>
          </cell>
          <cell r="E30">
            <v>0.870127541823034</v>
          </cell>
          <cell r="F30">
            <v>3.201</v>
          </cell>
        </row>
        <row r="31">
          <cell r="C31">
            <v>37469</v>
          </cell>
          <cell r="D31">
            <v>0.070946770197311</v>
          </cell>
          <cell r="E31">
            <v>0.864965520688819</v>
          </cell>
          <cell r="F31">
            <v>3.201</v>
          </cell>
        </row>
        <row r="32">
          <cell r="C32">
            <v>37500</v>
          </cell>
          <cell r="D32">
            <v>0.070963892774338</v>
          </cell>
          <cell r="E32">
            <v>0.859995885628902</v>
          </cell>
          <cell r="F32">
            <v>3.191</v>
          </cell>
        </row>
        <row r="33">
          <cell r="C33">
            <v>37530</v>
          </cell>
          <cell r="D33">
            <v>0.070978377180669</v>
          </cell>
          <cell r="E33">
            <v>0.854894106169895</v>
          </cell>
          <cell r="F33">
            <v>3.211</v>
          </cell>
        </row>
        <row r="34">
          <cell r="C34">
            <v>37561</v>
          </cell>
          <cell r="D34">
            <v>0.070990350597544</v>
          </cell>
          <cell r="E34">
            <v>0.849987706063653</v>
          </cell>
          <cell r="F34">
            <v>3.32</v>
          </cell>
        </row>
        <row r="35">
          <cell r="C35">
            <v>37591</v>
          </cell>
          <cell r="D35">
            <v>0.071001937775211</v>
          </cell>
          <cell r="E35">
            <v>0.84494720126782</v>
          </cell>
          <cell r="F35">
            <v>3.425</v>
          </cell>
        </row>
        <row r="36">
          <cell r="C36">
            <v>37622</v>
          </cell>
          <cell r="D36">
            <v>0.07101883887975</v>
          </cell>
          <cell r="E36">
            <v>0.83992421762231</v>
          </cell>
          <cell r="F36">
            <v>3.445</v>
          </cell>
        </row>
        <row r="37">
          <cell r="C37">
            <v>37653</v>
          </cell>
          <cell r="D37">
            <v>0.071041723605048</v>
          </cell>
          <cell r="E37">
            <v>0.835395174427579</v>
          </cell>
          <cell r="F37">
            <v>3.315</v>
          </cell>
        </row>
        <row r="38">
          <cell r="C38">
            <v>37681</v>
          </cell>
          <cell r="D38">
            <v>0.071062393679659</v>
          </cell>
          <cell r="E38">
            <v>0.830416035022792</v>
          </cell>
          <cell r="F38">
            <v>3.175</v>
          </cell>
        </row>
        <row r="39">
          <cell r="C39">
            <v>37712</v>
          </cell>
          <cell r="D39">
            <v>0.071076451505119</v>
          </cell>
          <cell r="E39">
            <v>0.825636112098511</v>
          </cell>
          <cell r="F39">
            <v>3.035</v>
          </cell>
        </row>
        <row r="40">
          <cell r="C40">
            <v>37742</v>
          </cell>
          <cell r="D40">
            <v>0.071078281380432</v>
          </cell>
          <cell r="E40">
            <v>0.8207522983056</v>
          </cell>
          <cell r="F40">
            <v>3.02</v>
          </cell>
        </row>
        <row r="41">
          <cell r="C41">
            <v>37773</v>
          </cell>
          <cell r="D41">
            <v>0.07108017225159</v>
          </cell>
          <cell r="E41">
            <v>0.816053026299614</v>
          </cell>
          <cell r="F41">
            <v>3.05</v>
          </cell>
        </row>
        <row r="42">
          <cell r="C42">
            <v>37803</v>
          </cell>
          <cell r="D42">
            <v>0.071082674655184</v>
          </cell>
          <cell r="E42">
            <v>0.811223833702244</v>
          </cell>
          <cell r="F42">
            <v>3.05</v>
          </cell>
        </row>
        <row r="43">
          <cell r="C43">
            <v>37834</v>
          </cell>
          <cell r="D43">
            <v>0.071086227545837</v>
          </cell>
          <cell r="E43">
            <v>0.806420368554262</v>
          </cell>
          <cell r="F43">
            <v>3.11</v>
          </cell>
        </row>
        <row r="44">
          <cell r="C44">
            <v>37865</v>
          </cell>
          <cell r="D44">
            <v>0.071089780436495</v>
          </cell>
          <cell r="E44">
            <v>0.801798211512941</v>
          </cell>
          <cell r="F44">
            <v>3.1</v>
          </cell>
        </row>
        <row r="45">
          <cell r="C45">
            <v>37895</v>
          </cell>
          <cell r="D45">
            <v>0.071093404512285</v>
          </cell>
          <cell r="E45">
            <v>0.7970494591172</v>
          </cell>
          <cell r="F45">
            <v>3.12</v>
          </cell>
        </row>
        <row r="46">
          <cell r="C46">
            <v>37926</v>
          </cell>
          <cell r="D46">
            <v>0.071097382802968</v>
          </cell>
          <cell r="E46">
            <v>0.792479024286516</v>
          </cell>
          <cell r="F46">
            <v>3.229</v>
          </cell>
        </row>
        <row r="47">
          <cell r="C47">
            <v>37956</v>
          </cell>
          <cell r="D47">
            <v>0.0711012327617</v>
          </cell>
          <cell r="E47">
            <v>0.787783928027464</v>
          </cell>
          <cell r="F47">
            <v>3.334</v>
          </cell>
        </row>
        <row r="48">
          <cell r="C48">
            <v>37987</v>
          </cell>
          <cell r="D48">
            <v>0.071110992920143</v>
          </cell>
          <cell r="E48">
            <v>0.783100515611112</v>
          </cell>
          <cell r="F48">
            <v>3.412</v>
          </cell>
        </row>
        <row r="49">
          <cell r="C49">
            <v>38018</v>
          </cell>
          <cell r="D49">
            <v>0.071126920404248</v>
          </cell>
          <cell r="E49">
            <v>0.778725050690415</v>
          </cell>
          <cell r="F49">
            <v>3.286</v>
          </cell>
        </row>
        <row r="50">
          <cell r="C50">
            <v>38047</v>
          </cell>
          <cell r="D50">
            <v>0.07114182030881</v>
          </cell>
          <cell r="E50">
            <v>0.774078591833137</v>
          </cell>
          <cell r="F50">
            <v>3.149</v>
          </cell>
        </row>
        <row r="51">
          <cell r="C51">
            <v>38078</v>
          </cell>
          <cell r="D51">
            <v>0.07115146442233</v>
          </cell>
          <cell r="E51">
            <v>0.769619919715016</v>
          </cell>
          <cell r="F51">
            <v>3.012</v>
          </cell>
        </row>
        <row r="52">
          <cell r="C52">
            <v>38108</v>
          </cell>
          <cell r="D52">
            <v>0.071154311375311</v>
          </cell>
          <cell r="E52">
            <v>0.765058517500014</v>
          </cell>
          <cell r="F52">
            <v>2.998</v>
          </cell>
        </row>
        <row r="53">
          <cell r="C53">
            <v>38139</v>
          </cell>
          <cell r="D53">
            <v>0.071157253226729</v>
          </cell>
          <cell r="E53">
            <v>0.760669124893966</v>
          </cell>
          <cell r="F53">
            <v>3.029</v>
          </cell>
        </row>
        <row r="54">
          <cell r="C54">
            <v>38169</v>
          </cell>
          <cell r="D54">
            <v>0.071171966017142</v>
          </cell>
          <cell r="E54">
            <v>0.756125434379493</v>
          </cell>
          <cell r="F54">
            <v>3.029</v>
          </cell>
        </row>
        <row r="55">
          <cell r="C55">
            <v>38200</v>
          </cell>
          <cell r="D55">
            <v>0.071201182223067</v>
          </cell>
          <cell r="E55">
            <v>0.751564104285874</v>
          </cell>
          <cell r="F55">
            <v>3.089</v>
          </cell>
        </row>
        <row r="56">
          <cell r="C56">
            <v>38231</v>
          </cell>
          <cell r="D56">
            <v>0.071230398429276</v>
          </cell>
          <cell r="E56">
            <v>0.747169877469243</v>
          </cell>
          <cell r="F56">
            <v>3.078</v>
          </cell>
        </row>
        <row r="57">
          <cell r="C57">
            <v>38261</v>
          </cell>
          <cell r="D57">
            <v>0.071258672177487</v>
          </cell>
          <cell r="E57">
            <v>0.742658390422103</v>
          </cell>
          <cell r="F57">
            <v>3.097</v>
          </cell>
        </row>
        <row r="58">
          <cell r="C58">
            <v>38292</v>
          </cell>
          <cell r="D58">
            <v>0.07128788838425</v>
          </cell>
          <cell r="E58">
            <v>0.738309390793046</v>
          </cell>
          <cell r="F58">
            <v>3.201</v>
          </cell>
        </row>
        <row r="59">
          <cell r="C59">
            <v>38322</v>
          </cell>
          <cell r="D59">
            <v>0.071316162133</v>
          </cell>
          <cell r="E59">
            <v>0.733844603174665</v>
          </cell>
          <cell r="F59">
            <v>3.303</v>
          </cell>
        </row>
        <row r="60">
          <cell r="C60">
            <v>38353</v>
          </cell>
          <cell r="D60">
            <v>0.071345378340317</v>
          </cell>
          <cell r="E60">
            <v>0.729400448990827</v>
          </cell>
          <cell r="F60">
            <v>3.414</v>
          </cell>
        </row>
        <row r="61">
          <cell r="C61">
            <v>38384</v>
          </cell>
          <cell r="D61">
            <v>0.071374594547918</v>
          </cell>
          <cell r="E61">
            <v>0.725397461901295</v>
          </cell>
          <cell r="F61">
            <v>3.292</v>
          </cell>
        </row>
        <row r="62">
          <cell r="C62">
            <v>38412</v>
          </cell>
          <cell r="D62">
            <v>0.071400983380831</v>
          </cell>
          <cell r="E62">
            <v>0.72100690532943</v>
          </cell>
          <cell r="F62">
            <v>3.158</v>
          </cell>
        </row>
        <row r="63">
          <cell r="C63">
            <v>38443</v>
          </cell>
          <cell r="D63">
            <v>0.071430199588968</v>
          </cell>
          <cell r="E63">
            <v>0.716768253786075</v>
          </cell>
          <cell r="F63">
            <v>3.024</v>
          </cell>
        </row>
        <row r="64">
          <cell r="C64">
            <v>38473</v>
          </cell>
          <cell r="D64">
            <v>0.071458473339046</v>
          </cell>
          <cell r="E64">
            <v>0.712417389322001</v>
          </cell>
          <cell r="F64">
            <v>3.011</v>
          </cell>
        </row>
        <row r="65">
          <cell r="C65">
            <v>38504</v>
          </cell>
          <cell r="D65">
            <v>0.071487689547738</v>
          </cell>
          <cell r="E65">
            <v>0.708222671047345</v>
          </cell>
          <cell r="F65">
            <v>3.043</v>
          </cell>
        </row>
        <row r="66">
          <cell r="C66">
            <v>38534</v>
          </cell>
          <cell r="D66">
            <v>0.071515963298354</v>
          </cell>
          <cell r="E66">
            <v>0.703917156452884</v>
          </cell>
          <cell r="F66">
            <v>3.043</v>
          </cell>
        </row>
        <row r="67">
          <cell r="C67">
            <v>38565</v>
          </cell>
          <cell r="D67">
            <v>0.071546853272664</v>
          </cell>
          <cell r="E67">
            <v>0.699625596082848</v>
          </cell>
          <cell r="F67">
            <v>3.103</v>
          </cell>
        </row>
        <row r="68">
          <cell r="C68">
            <v>38596</v>
          </cell>
          <cell r="D68">
            <v>0.071584717268468</v>
          </cell>
          <cell r="E68">
            <v>0.695466401536343</v>
          </cell>
          <cell r="F68">
            <v>3.091</v>
          </cell>
        </row>
        <row r="69">
          <cell r="C69">
            <v>38626</v>
          </cell>
          <cell r="D69">
            <v>0.071621359845503</v>
          </cell>
          <cell r="E69">
            <v>0.691198881575354</v>
          </cell>
          <cell r="F69">
            <v>3.109</v>
          </cell>
        </row>
        <row r="70">
          <cell r="C70">
            <v>38657</v>
          </cell>
          <cell r="D70">
            <v>0.071659223842239</v>
          </cell>
          <cell r="E70">
            <v>0.687081533509683</v>
          </cell>
          <cell r="F70">
            <v>3.208</v>
          </cell>
        </row>
        <row r="71">
          <cell r="C71">
            <v>38687</v>
          </cell>
          <cell r="D71">
            <v>0.071695866420177</v>
          </cell>
          <cell r="E71">
            <v>0.682857266173603</v>
          </cell>
          <cell r="F71">
            <v>3.307</v>
          </cell>
        </row>
        <row r="72">
          <cell r="C72">
            <v>38718</v>
          </cell>
          <cell r="D72">
            <v>0.071733730417844</v>
          </cell>
          <cell r="E72">
            <v>0.678650495876802</v>
          </cell>
          <cell r="F72">
            <v>3.431</v>
          </cell>
        </row>
        <row r="73">
          <cell r="C73">
            <v>38749</v>
          </cell>
          <cell r="D73">
            <v>0.071771594415986</v>
          </cell>
          <cell r="E73">
            <v>0.674856201661184</v>
          </cell>
          <cell r="F73">
            <v>3.313</v>
          </cell>
        </row>
        <row r="74">
          <cell r="C74">
            <v>38777</v>
          </cell>
          <cell r="D74">
            <v>0.07180579415665</v>
          </cell>
          <cell r="E74">
            <v>0.670704038064434</v>
          </cell>
          <cell r="F74">
            <v>3.182</v>
          </cell>
        </row>
        <row r="75">
          <cell r="C75">
            <v>38808</v>
          </cell>
          <cell r="D75">
            <v>0.071843658155693</v>
          </cell>
          <cell r="E75">
            <v>0.666688961296713</v>
          </cell>
          <cell r="F75">
            <v>3.051</v>
          </cell>
        </row>
        <row r="76">
          <cell r="C76">
            <v>38838</v>
          </cell>
          <cell r="D76">
            <v>0.071880300735863</v>
          </cell>
          <cell r="E76">
            <v>0.662570379892671</v>
          </cell>
          <cell r="F76">
            <v>3.039</v>
          </cell>
        </row>
        <row r="77">
          <cell r="C77">
            <v>38869</v>
          </cell>
          <cell r="D77">
            <v>0.071918164735838</v>
          </cell>
          <cell r="E77">
            <v>0.658596088261299</v>
          </cell>
          <cell r="F77">
            <v>3.072</v>
          </cell>
        </row>
        <row r="78">
          <cell r="C78">
            <v>38899</v>
          </cell>
          <cell r="D78">
            <v>0.07195480731691</v>
          </cell>
          <cell r="E78">
            <v>0.654519645023187</v>
          </cell>
          <cell r="F78">
            <v>3.072</v>
          </cell>
        </row>
        <row r="79">
          <cell r="C79">
            <v>38930</v>
          </cell>
          <cell r="D79">
            <v>0.071992671317817</v>
          </cell>
          <cell r="E79">
            <v>0.650459867154018</v>
          </cell>
          <cell r="F79">
            <v>3.132</v>
          </cell>
        </row>
        <row r="80">
          <cell r="C80">
            <v>38961</v>
          </cell>
          <cell r="D80">
            <v>0.072030535319198</v>
          </cell>
          <cell r="E80">
            <v>0.646546513221737</v>
          </cell>
          <cell r="F80">
            <v>3.119</v>
          </cell>
        </row>
        <row r="81">
          <cell r="C81">
            <v>38991</v>
          </cell>
          <cell r="D81">
            <v>0.07206717790163</v>
          </cell>
          <cell r="E81">
            <v>0.642533019988676</v>
          </cell>
          <cell r="F81">
            <v>3.136</v>
          </cell>
        </row>
        <row r="82">
          <cell r="C82">
            <v>39022</v>
          </cell>
          <cell r="D82">
            <v>0.072105041903943</v>
          </cell>
          <cell r="E82">
            <v>0.638659690732564</v>
          </cell>
          <cell r="F82">
            <v>3.23</v>
          </cell>
        </row>
        <row r="83">
          <cell r="C83">
            <v>39052</v>
          </cell>
          <cell r="D83">
            <v>0.072141684487276</v>
          </cell>
          <cell r="E83">
            <v>0.634687537823503</v>
          </cell>
          <cell r="F83">
            <v>3.326</v>
          </cell>
        </row>
        <row r="84">
          <cell r="C84">
            <v>39083</v>
          </cell>
          <cell r="D84">
            <v>0.072179548490521</v>
          </cell>
          <cell r="E84">
            <v>0.630731472862835</v>
          </cell>
          <cell r="F84">
            <v>3.463</v>
          </cell>
        </row>
        <row r="85">
          <cell r="C85">
            <v>39114</v>
          </cell>
          <cell r="D85">
            <v>0.072217412494239</v>
          </cell>
          <cell r="E85">
            <v>0.627161523520016</v>
          </cell>
          <cell r="F85">
            <v>3.349</v>
          </cell>
        </row>
        <row r="86">
          <cell r="C86">
            <v>39142</v>
          </cell>
          <cell r="D86">
            <v>0.07225161223994</v>
          </cell>
          <cell r="E86">
            <v>0.623259511062817</v>
          </cell>
          <cell r="F86">
            <v>3.221</v>
          </cell>
        </row>
        <row r="87">
          <cell r="C87">
            <v>39173</v>
          </cell>
          <cell r="D87">
            <v>0.072289476244559</v>
          </cell>
          <cell r="E87">
            <v>0.619483962723703</v>
          </cell>
          <cell r="F87">
            <v>3.093</v>
          </cell>
        </row>
        <row r="88">
          <cell r="C88">
            <v>39203</v>
          </cell>
          <cell r="D88">
            <v>0.072326118830125</v>
          </cell>
          <cell r="E88">
            <v>0.61561278460151</v>
          </cell>
          <cell r="F88">
            <v>3.082</v>
          </cell>
        </row>
        <row r="89">
          <cell r="C89">
            <v>39234</v>
          </cell>
          <cell r="D89">
            <v>0.072363982835676</v>
          </cell>
          <cell r="E89">
            <v>0.611876215527392</v>
          </cell>
          <cell r="F89">
            <v>3.116</v>
          </cell>
        </row>
        <row r="90">
          <cell r="C90">
            <v>39264</v>
          </cell>
          <cell r="D90">
            <v>0.072400625422144</v>
          </cell>
          <cell r="E90">
            <v>0.608045281822698</v>
          </cell>
          <cell r="F90">
            <v>3.116</v>
          </cell>
        </row>
        <row r="91">
          <cell r="C91">
            <v>39295</v>
          </cell>
          <cell r="D91">
            <v>0.072430391560767</v>
          </cell>
          <cell r="E91">
            <v>0.604263099210678</v>
          </cell>
          <cell r="F91">
            <v>3.176</v>
          </cell>
        </row>
        <row r="92">
          <cell r="C92">
            <v>39326</v>
          </cell>
          <cell r="D92">
            <v>0.072426416583505</v>
          </cell>
          <cell r="E92">
            <v>0.600758639819109</v>
          </cell>
          <cell r="F92">
            <v>3.162</v>
          </cell>
        </row>
        <row r="93">
          <cell r="C93">
            <v>39356</v>
          </cell>
          <cell r="D93">
            <v>0.07242256983132</v>
          </cell>
          <cell r="E93">
            <v>0.597158022024858</v>
          </cell>
          <cell r="F93">
            <v>3.178</v>
          </cell>
        </row>
        <row r="94">
          <cell r="C94">
            <v>39387</v>
          </cell>
          <cell r="D94">
            <v>0.072418594854068</v>
          </cell>
          <cell r="E94">
            <v>0.593695517448611</v>
          </cell>
          <cell r="F94">
            <v>3.267</v>
          </cell>
        </row>
        <row r="95">
          <cell r="C95">
            <v>39417</v>
          </cell>
          <cell r="D95">
            <v>0.072414748101893</v>
          </cell>
          <cell r="E95">
            <v>0.590137976153138</v>
          </cell>
          <cell r="F95">
            <v>3.36</v>
          </cell>
        </row>
        <row r="96">
          <cell r="C96">
            <v>39448</v>
          </cell>
          <cell r="D96">
            <v>0.072410773124651</v>
          </cell>
          <cell r="E96">
            <v>0.58660266637529</v>
          </cell>
          <cell r="F96">
            <v>3.505</v>
          </cell>
        </row>
        <row r="97">
          <cell r="C97">
            <v>39479</v>
          </cell>
          <cell r="D97">
            <v>0.072406798147414</v>
          </cell>
          <cell r="E97">
            <v>0.583316054835533</v>
          </cell>
          <cell r="F97">
            <v>3.395</v>
          </cell>
        </row>
        <row r="98">
          <cell r="C98">
            <v>39508</v>
          </cell>
          <cell r="D98">
            <v>0.072403079620327</v>
          </cell>
          <cell r="E98">
            <v>0.57982125612208</v>
          </cell>
          <cell r="F98">
            <v>3.27</v>
          </cell>
        </row>
        <row r="99">
          <cell r="C99">
            <v>39539</v>
          </cell>
          <cell r="D99">
            <v>0.0723991046431</v>
          </cell>
          <cell r="E99">
            <v>0.57646108640279</v>
          </cell>
          <cell r="F99">
            <v>3.145</v>
          </cell>
        </row>
        <row r="100">
          <cell r="C100">
            <v>39569</v>
          </cell>
          <cell r="D100">
            <v>0.07239525789095</v>
          </cell>
          <cell r="E100">
            <v>0.573008617384164</v>
          </cell>
          <cell r="F100">
            <v>3.135</v>
          </cell>
        </row>
        <row r="101">
          <cell r="C101">
            <v>39600</v>
          </cell>
          <cell r="D101">
            <v>0.072391282913734</v>
          </cell>
          <cell r="E101">
            <v>0.569688646396189</v>
          </cell>
          <cell r="F101">
            <v>3.17</v>
          </cell>
        </row>
        <row r="102">
          <cell r="C102">
            <v>39630</v>
          </cell>
          <cell r="D102">
            <v>0.072387436161594</v>
          </cell>
          <cell r="E102">
            <v>0.566277451981647</v>
          </cell>
          <cell r="F102">
            <v>3.17</v>
          </cell>
        </row>
        <row r="103">
          <cell r="C103">
            <v>39661</v>
          </cell>
          <cell r="D103">
            <v>0.072383461184387</v>
          </cell>
          <cell r="E103">
            <v>0.562887600899965</v>
          </cell>
          <cell r="F103">
            <v>3.23</v>
          </cell>
        </row>
        <row r="104">
          <cell r="C104">
            <v>39692</v>
          </cell>
          <cell r="D104">
            <v>0.072379486207187</v>
          </cell>
          <cell r="E104">
            <v>0.559627334496009</v>
          </cell>
          <cell r="F104">
            <v>3.215</v>
          </cell>
        </row>
        <row r="105">
          <cell r="C105">
            <v>39722</v>
          </cell>
          <cell r="D105">
            <v>0.072375639455062</v>
          </cell>
          <cell r="E105">
            <v>0.556277443197467</v>
          </cell>
          <cell r="F105">
            <v>3.23</v>
          </cell>
        </row>
        <row r="106">
          <cell r="C106">
            <v>39753</v>
          </cell>
          <cell r="D106">
            <v>0.072371664477871</v>
          </cell>
          <cell r="E106">
            <v>0.55305616036836</v>
          </cell>
          <cell r="F106">
            <v>3.314</v>
          </cell>
        </row>
        <row r="107">
          <cell r="C107">
            <v>39783</v>
          </cell>
          <cell r="D107">
            <v>0.072367817725756</v>
          </cell>
          <cell r="E107">
            <v>0.549746296789501</v>
          </cell>
          <cell r="F107">
            <v>3.404</v>
          </cell>
        </row>
        <row r="108">
          <cell r="C108">
            <v>39814</v>
          </cell>
          <cell r="D108">
            <v>0.072363842748576</v>
          </cell>
          <cell r="E108">
            <v>0.546457160937398</v>
          </cell>
          <cell r="F108">
            <v>3.557</v>
          </cell>
        </row>
        <row r="109">
          <cell r="C109">
            <v>39845</v>
          </cell>
          <cell r="D109">
            <v>0.072359867771401</v>
          </cell>
          <cell r="E109">
            <v>0.543505281248839</v>
          </cell>
          <cell r="F109">
            <v>3.451</v>
          </cell>
        </row>
        <row r="110">
          <cell r="C110">
            <v>39873</v>
          </cell>
          <cell r="D110">
            <v>0.072356277469441</v>
          </cell>
          <cell r="E110">
            <v>0.540252434669932</v>
          </cell>
          <cell r="F110">
            <v>3.329</v>
          </cell>
        </row>
        <row r="111">
          <cell r="C111">
            <v>39904</v>
          </cell>
          <cell r="D111">
            <v>0.072352302492275</v>
          </cell>
          <cell r="E111">
            <v>0.537125625587144</v>
          </cell>
          <cell r="F111">
            <v>3.207</v>
          </cell>
        </row>
        <row r="112">
          <cell r="C112">
            <v>39934</v>
          </cell>
          <cell r="D112">
            <v>0.072348455740185</v>
          </cell>
          <cell r="E112">
            <v>0.533912767491412</v>
          </cell>
          <cell r="F112">
            <v>3.198</v>
          </cell>
        </row>
        <row r="113">
          <cell r="C113">
            <v>39965</v>
          </cell>
          <cell r="D113">
            <v>0.072344480763029</v>
          </cell>
          <cell r="E113">
            <v>0.530823319655884</v>
          </cell>
          <cell r="F113">
            <v>3.234</v>
          </cell>
        </row>
        <row r="114">
          <cell r="C114">
            <v>39995</v>
          </cell>
          <cell r="D114">
            <v>0.07234063401095</v>
          </cell>
          <cell r="E114">
            <v>0.527648824555432</v>
          </cell>
          <cell r="F114">
            <v>3.234</v>
          </cell>
        </row>
        <row r="115">
          <cell r="C115">
            <v>40026</v>
          </cell>
          <cell r="D115">
            <v>0.072336659033804</v>
          </cell>
          <cell r="E115">
            <v>0.524494233958207</v>
          </cell>
          <cell r="F115">
            <v>3.294</v>
          </cell>
        </row>
        <row r="116">
          <cell r="C116">
            <v>40057</v>
          </cell>
          <cell r="D116">
            <v>0.072332684056665</v>
          </cell>
          <cell r="E116">
            <v>0.521460277385997</v>
          </cell>
          <cell r="F116">
            <v>3.278</v>
          </cell>
        </row>
        <row r="117">
          <cell r="C117">
            <v>40087</v>
          </cell>
          <cell r="D117">
            <v>0.0723288373046</v>
          </cell>
          <cell r="E117">
            <v>0.518342761973607</v>
          </cell>
          <cell r="F117">
            <v>3.292</v>
          </cell>
        </row>
        <row r="118">
          <cell r="C118">
            <v>40118</v>
          </cell>
          <cell r="D118">
            <v>0.07232486232747</v>
          </cell>
          <cell r="E118">
            <v>0.51534503858792</v>
          </cell>
          <cell r="F118">
            <v>3.371</v>
          </cell>
        </row>
        <row r="119">
          <cell r="C119">
            <v>40148</v>
          </cell>
          <cell r="D119">
            <v>0.072321015575415</v>
          </cell>
          <cell r="E119">
            <v>0.512264728603825</v>
          </cell>
          <cell r="F119">
            <v>3.458</v>
          </cell>
        </row>
        <row r="120">
          <cell r="C120">
            <v>40179</v>
          </cell>
          <cell r="D120">
            <v>0.072317040598296</v>
          </cell>
          <cell r="E120">
            <v>0.509203749768004</v>
          </cell>
          <cell r="F120">
            <v>3.619</v>
          </cell>
        </row>
        <row r="121">
          <cell r="C121">
            <v>40210</v>
          </cell>
          <cell r="D121">
            <v>0.072313065621182</v>
          </cell>
          <cell r="E121">
            <v>0.506456803018062</v>
          </cell>
          <cell r="F121">
            <v>3.517</v>
          </cell>
        </row>
        <row r="122">
          <cell r="C122">
            <v>40238</v>
          </cell>
          <cell r="D122">
            <v>0.072309475319277</v>
          </cell>
          <cell r="E122">
            <v>0.503429362839089</v>
          </cell>
          <cell r="F122">
            <v>3.398</v>
          </cell>
        </row>
        <row r="123">
          <cell r="C123">
            <v>40269</v>
          </cell>
          <cell r="D123">
            <v>0.072305500342174</v>
          </cell>
          <cell r="E123">
            <v>0.500519450054835</v>
          </cell>
          <cell r="F123">
            <v>3.279</v>
          </cell>
        </row>
        <row r="124">
          <cell r="C124">
            <v>40299</v>
          </cell>
          <cell r="D124">
            <v>0.072301653590143</v>
          </cell>
          <cell r="E124">
            <v>0.497529308125527</v>
          </cell>
          <cell r="F124">
            <v>3.271</v>
          </cell>
        </row>
        <row r="125">
          <cell r="C125">
            <v>40330</v>
          </cell>
          <cell r="D125">
            <v>0.072297678613049</v>
          </cell>
          <cell r="E125">
            <v>0.494654122415318</v>
          </cell>
          <cell r="F125">
            <v>3.308</v>
          </cell>
        </row>
        <row r="126">
          <cell r="C126">
            <v>40360</v>
          </cell>
          <cell r="D126">
            <v>0.072293831861028</v>
          </cell>
          <cell r="E126">
            <v>0.491699640372058</v>
          </cell>
          <cell r="F126">
            <v>3.308</v>
          </cell>
        </row>
        <row r="127">
          <cell r="C127">
            <v>40391</v>
          </cell>
          <cell r="D127">
            <v>0.072290562622285</v>
          </cell>
          <cell r="E127">
            <v>0.488760366779549</v>
          </cell>
          <cell r="F127">
            <v>3.368</v>
          </cell>
        </row>
        <row r="128">
          <cell r="C128">
            <v>40422</v>
          </cell>
          <cell r="D128">
            <v>0.072290233959959</v>
          </cell>
          <cell r="E128">
            <v>0.485919374073738</v>
          </cell>
          <cell r="F128">
            <v>3.351</v>
          </cell>
        </row>
        <row r="129">
          <cell r="C129">
            <v>40452</v>
          </cell>
          <cell r="D129">
            <v>0.072289915899645</v>
          </cell>
          <cell r="E129">
            <v>0.483000952502669</v>
          </cell>
          <cell r="F129">
            <v>3.364</v>
          </cell>
        </row>
        <row r="130">
          <cell r="C130">
            <v>40483</v>
          </cell>
          <cell r="D130">
            <v>0.07228958723732</v>
          </cell>
          <cell r="E130">
            <v>0.480193487309585</v>
          </cell>
          <cell r="F130">
            <v>3.438</v>
          </cell>
        </row>
        <row r="131">
          <cell r="C131">
            <v>40513</v>
          </cell>
          <cell r="D131">
            <v>0.072289269177006</v>
          </cell>
          <cell r="E131">
            <v>0.477309505049881</v>
          </cell>
          <cell r="F131">
            <v>3.522</v>
          </cell>
        </row>
        <row r="132">
          <cell r="C132">
            <v>40544</v>
          </cell>
          <cell r="D132">
            <v>0.072288940514681</v>
          </cell>
          <cell r="E132">
            <v>0.474442919321494</v>
          </cell>
          <cell r="F132">
            <v>3.691</v>
          </cell>
        </row>
        <row r="133">
          <cell r="C133">
            <v>40575</v>
          </cell>
          <cell r="D133">
            <v>0.072288611852357</v>
          </cell>
          <cell r="E133">
            <v>0.471868720454935</v>
          </cell>
          <cell r="F133">
            <v>3.593</v>
          </cell>
        </row>
        <row r="134">
          <cell r="C134">
            <v>40603</v>
          </cell>
          <cell r="D134">
            <v>0.072288314996063</v>
          </cell>
          <cell r="E134">
            <v>0.469034706328319</v>
          </cell>
          <cell r="F134">
            <v>3.477</v>
          </cell>
        </row>
        <row r="135">
          <cell r="C135">
            <v>40634</v>
          </cell>
          <cell r="D135">
            <v>0.072287986333738</v>
          </cell>
          <cell r="E135">
            <v>0.466308540908526</v>
          </cell>
          <cell r="F135">
            <v>3.361</v>
          </cell>
        </row>
        <row r="136">
          <cell r="C136">
            <v>40664</v>
          </cell>
          <cell r="D136">
            <v>0.072287668273424</v>
          </cell>
          <cell r="E136">
            <v>0.463508069511128</v>
          </cell>
          <cell r="F136">
            <v>3.354</v>
          </cell>
        </row>
        <row r="137">
          <cell r="C137">
            <v>40695</v>
          </cell>
          <cell r="D137">
            <v>0.072287339611099</v>
          </cell>
          <cell r="E137">
            <v>0.46081407453965</v>
          </cell>
          <cell r="F137">
            <v>3.392</v>
          </cell>
        </row>
        <row r="138">
          <cell r="C138">
            <v>40725</v>
          </cell>
          <cell r="D138">
            <v>0.072287021550785</v>
          </cell>
          <cell r="E138">
            <v>0.458046648561066</v>
          </cell>
          <cell r="F138">
            <v>3.392</v>
          </cell>
        </row>
        <row r="139">
          <cell r="C139">
            <v>40756</v>
          </cell>
          <cell r="D139">
            <v>0.07228669288846</v>
          </cell>
          <cell r="E139">
            <v>0.455295917744089</v>
          </cell>
          <cell r="F139">
            <v>3.452</v>
          </cell>
        </row>
        <row r="140">
          <cell r="C140">
            <v>40787</v>
          </cell>
          <cell r="D140">
            <v>0.072286364226136</v>
          </cell>
          <cell r="E140">
            <v>0.452649724487993</v>
          </cell>
          <cell r="F140">
            <v>3.434</v>
          </cell>
        </row>
        <row r="141">
          <cell r="C141">
            <v>40817</v>
          </cell>
          <cell r="D141">
            <v>0.072286046165822</v>
          </cell>
          <cell r="E141">
            <v>0.449931400375601</v>
          </cell>
          <cell r="F141">
            <v>3.446</v>
          </cell>
        </row>
        <row r="142">
          <cell r="C142">
            <v>40848</v>
          </cell>
          <cell r="D142">
            <v>0.072285717503498</v>
          </cell>
          <cell r="E142">
            <v>0.447316432481263</v>
          </cell>
          <cell r="F142">
            <v>3.515</v>
          </cell>
        </row>
        <row r="143">
          <cell r="C143">
            <v>40878</v>
          </cell>
          <cell r="D143">
            <v>0.072285399443184</v>
          </cell>
          <cell r="E143">
            <v>0.44463018305132</v>
          </cell>
          <cell r="F143">
            <v>3.596</v>
          </cell>
        </row>
        <row r="144">
          <cell r="C144">
            <v>40909</v>
          </cell>
          <cell r="D144">
            <v>0.072285070780859</v>
          </cell>
          <cell r="E144">
            <v>0.441960140265426</v>
          </cell>
          <cell r="F144">
            <v>3.773</v>
          </cell>
        </row>
        <row r="145">
          <cell r="C145">
            <v>40940</v>
          </cell>
          <cell r="D145">
            <v>0.072284742118535</v>
          </cell>
          <cell r="E145">
            <v>0.4394770012816</v>
          </cell>
          <cell r="F145">
            <v>3.679</v>
          </cell>
        </row>
        <row r="146">
          <cell r="C146">
            <v>40969</v>
          </cell>
          <cell r="D146">
            <v>0.072284434660232</v>
          </cell>
          <cell r="E146">
            <v>0.436837845817252</v>
          </cell>
          <cell r="F146">
            <v>3.566</v>
          </cell>
        </row>
        <row r="147">
          <cell r="C147">
            <v>41000</v>
          </cell>
          <cell r="D147">
            <v>0.072284105997907</v>
          </cell>
          <cell r="E147">
            <v>0.434299089499358</v>
          </cell>
          <cell r="F147">
            <v>3.453</v>
          </cell>
        </row>
        <row r="148">
          <cell r="C148">
            <v>41030</v>
          </cell>
          <cell r="D148">
            <v>0.072283787937593</v>
          </cell>
          <cell r="E148">
            <v>0.431691124670919</v>
          </cell>
          <cell r="F148">
            <v>3.447</v>
          </cell>
        </row>
        <row r="149">
          <cell r="C149">
            <v>41061</v>
          </cell>
          <cell r="D149">
            <v>0.072283459275269</v>
          </cell>
          <cell r="E149">
            <v>0.429182324123992</v>
          </cell>
          <cell r="F149">
            <v>3.486</v>
          </cell>
        </row>
        <row r="150">
          <cell r="C150">
            <v>41091</v>
          </cell>
          <cell r="D150">
            <v>0.072283141214955</v>
          </cell>
          <cell r="E150">
            <v>0.426605129927665</v>
          </cell>
          <cell r="F150">
            <v>3.486</v>
          </cell>
        </row>
        <row r="151">
          <cell r="C151">
            <v>41122</v>
          </cell>
          <cell r="D151">
            <v>0.072282812552631</v>
          </cell>
          <cell r="E151">
            <v>0.424043486027126</v>
          </cell>
          <cell r="F151">
            <v>3.546</v>
          </cell>
        </row>
        <row r="152">
          <cell r="C152">
            <v>41153</v>
          </cell>
          <cell r="D152">
            <v>0.072282483890307</v>
          </cell>
          <cell r="E152">
            <v>0.421579196500418</v>
          </cell>
          <cell r="F152">
            <v>3.527</v>
          </cell>
        </row>
        <row r="153">
          <cell r="C153">
            <v>41183</v>
          </cell>
          <cell r="D153">
            <v>0.07228216583</v>
          </cell>
          <cell r="E153">
            <v>0.419047724158268</v>
          </cell>
          <cell r="F153">
            <v>3.538</v>
          </cell>
        </row>
        <row r="154">
          <cell r="C154">
            <v>41214</v>
          </cell>
          <cell r="D154">
            <v>0.072281837167669</v>
          </cell>
          <cell r="E154">
            <v>0.416612510468582</v>
          </cell>
          <cell r="F154">
            <v>3.602</v>
          </cell>
        </row>
        <row r="155">
          <cell r="C155">
            <v>41244</v>
          </cell>
          <cell r="D155">
            <v>0.072281519107356</v>
          </cell>
          <cell r="E155">
            <v>0.414110904939368</v>
          </cell>
          <cell r="F155">
            <v>3.68</v>
          </cell>
        </row>
        <row r="156">
          <cell r="C156">
            <v>41275</v>
          </cell>
          <cell r="D156">
            <v>0.072281190445032</v>
          </cell>
          <cell r="E156">
            <v>0.411624394735807</v>
          </cell>
          <cell r="F156">
            <v>3.86</v>
          </cell>
        </row>
        <row r="157">
          <cell r="C157">
            <v>41306</v>
          </cell>
          <cell r="D157">
            <v>0.072280861782708</v>
          </cell>
          <cell r="E157">
            <v>0.409391526823566</v>
          </cell>
          <cell r="F157">
            <v>3.77</v>
          </cell>
        </row>
        <row r="158">
          <cell r="C158">
            <v>41334</v>
          </cell>
          <cell r="D158">
            <v>0.072280564926415</v>
          </cell>
          <cell r="E158">
            <v>0.406933238499984</v>
          </cell>
          <cell r="F158">
            <v>3.66</v>
          </cell>
        </row>
        <row r="159">
          <cell r="C159">
            <v>41365</v>
          </cell>
          <cell r="D159">
            <v>0.072280236264091</v>
          </cell>
          <cell r="E159">
            <v>0.404568530164345</v>
          </cell>
          <cell r="F159">
            <v>3.55</v>
          </cell>
        </row>
        <row r="160">
          <cell r="C160">
            <v>41395</v>
          </cell>
          <cell r="D160">
            <v>0.072279918203778</v>
          </cell>
          <cell r="E160">
            <v>0.402139348094424</v>
          </cell>
          <cell r="F160">
            <v>3.545</v>
          </cell>
        </row>
        <row r="161">
          <cell r="C161">
            <v>41426</v>
          </cell>
          <cell r="D161">
            <v>0.072279589541454</v>
          </cell>
          <cell r="E161">
            <v>0.399802538959522</v>
          </cell>
          <cell r="F161">
            <v>3.585</v>
          </cell>
        </row>
        <row r="162">
          <cell r="C162">
            <v>41456</v>
          </cell>
          <cell r="D162">
            <v>0.072279271481141</v>
          </cell>
          <cell r="E162">
            <v>0.397402015124801</v>
          </cell>
          <cell r="F162">
            <v>3.585</v>
          </cell>
        </row>
        <row r="163">
          <cell r="C163">
            <v>41487</v>
          </cell>
          <cell r="D163">
            <v>0.072278942818817</v>
          </cell>
          <cell r="E163">
            <v>0.395015978148979</v>
          </cell>
          <cell r="F163">
            <v>3.645</v>
          </cell>
        </row>
        <row r="164">
          <cell r="C164">
            <v>41518</v>
          </cell>
          <cell r="D164">
            <v>0.072278614156494</v>
          </cell>
          <cell r="E164">
            <v>0.39272062425901</v>
          </cell>
          <cell r="F164">
            <v>3.625</v>
          </cell>
        </row>
        <row r="165">
          <cell r="C165">
            <v>41548</v>
          </cell>
          <cell r="D165">
            <v>0.07227829609618</v>
          </cell>
          <cell r="E165">
            <v>0.390362683549947</v>
          </cell>
          <cell r="F165">
            <v>3.635</v>
          </cell>
        </row>
        <row r="166">
          <cell r="C166">
            <v>41579</v>
          </cell>
          <cell r="D166">
            <v>0.072277967433856</v>
          </cell>
          <cell r="E166">
            <v>0.388094409421805</v>
          </cell>
          <cell r="F166">
            <v>3.694</v>
          </cell>
        </row>
        <row r="167">
          <cell r="C167">
            <v>41609</v>
          </cell>
          <cell r="D167">
            <v>0.072277649373543</v>
          </cell>
          <cell r="E167">
            <v>0.38576428526249</v>
          </cell>
          <cell r="F167">
            <v>3.769</v>
          </cell>
        </row>
        <row r="168">
          <cell r="C168">
            <v>41640</v>
          </cell>
          <cell r="D168">
            <v>0.07227732071122</v>
          </cell>
          <cell r="E168">
            <v>0.38344822415004</v>
          </cell>
          <cell r="F168">
            <v>3.957</v>
          </cell>
        </row>
        <row r="169">
          <cell r="C169">
            <v>41671</v>
          </cell>
          <cell r="D169">
            <v>0.072276992048896</v>
          </cell>
          <cell r="E169">
            <v>0.381368428732164</v>
          </cell>
          <cell r="F169">
            <v>3.871</v>
          </cell>
        </row>
        <row r="170">
          <cell r="C170">
            <v>41699</v>
          </cell>
          <cell r="D170">
            <v>0.072276695192604</v>
          </cell>
          <cell r="E170">
            <v>0.379078640430175</v>
          </cell>
          <cell r="F170">
            <v>3.764</v>
          </cell>
        </row>
        <row r="171">
          <cell r="C171">
            <v>41730</v>
          </cell>
          <cell r="D171">
            <v>0.072276366530281</v>
          </cell>
          <cell r="E171">
            <v>0.376876031559072</v>
          </cell>
          <cell r="F171">
            <v>3.657</v>
          </cell>
        </row>
        <row r="172">
          <cell r="C172">
            <v>41760</v>
          </cell>
          <cell r="D172">
            <v>0.072276048469968</v>
          </cell>
          <cell r="E172">
            <v>0.374613359360789</v>
          </cell>
          <cell r="F172">
            <v>3.653</v>
          </cell>
        </row>
        <row r="173">
          <cell r="C173">
            <v>41791</v>
          </cell>
          <cell r="D173">
            <v>0.072275719807644</v>
          </cell>
          <cell r="E173">
            <v>0.372436734504415</v>
          </cell>
          <cell r="F173">
            <v>3.694</v>
          </cell>
        </row>
        <row r="174">
          <cell r="C174">
            <v>41821</v>
          </cell>
          <cell r="D174">
            <v>0.072275401747331</v>
          </cell>
          <cell r="E174">
            <v>0.37020075335863</v>
          </cell>
          <cell r="F174">
            <v>3.694</v>
          </cell>
        </row>
        <row r="175">
          <cell r="C175">
            <v>41852</v>
          </cell>
          <cell r="D175">
            <v>0.072275073085008</v>
          </cell>
          <cell r="E175">
            <v>0.367978268460989</v>
          </cell>
          <cell r="F175">
            <v>3.754</v>
          </cell>
        </row>
        <row r="176">
          <cell r="C176">
            <v>41883</v>
          </cell>
          <cell r="D176">
            <v>0.072274744422684</v>
          </cell>
          <cell r="E176">
            <v>0.365840253146993</v>
          </cell>
          <cell r="F176">
            <v>3.733</v>
          </cell>
        </row>
        <row r="177">
          <cell r="C177">
            <v>41913</v>
          </cell>
          <cell r="D177">
            <v>0.072274426362371</v>
          </cell>
          <cell r="E177">
            <v>0.363643932161905</v>
          </cell>
          <cell r="F177">
            <v>3.742</v>
          </cell>
        </row>
        <row r="178">
          <cell r="C178">
            <v>41944</v>
          </cell>
          <cell r="D178">
            <v>0.072274097700049</v>
          </cell>
          <cell r="E178">
            <v>0.361531137754094</v>
          </cell>
          <cell r="F178">
            <v>3.796</v>
          </cell>
        </row>
        <row r="179">
          <cell r="C179">
            <v>41974</v>
          </cell>
          <cell r="D179">
            <v>0.072273779639736</v>
          </cell>
          <cell r="E179">
            <v>0.35936072399256</v>
          </cell>
          <cell r="F179">
            <v>3.868</v>
          </cell>
        </row>
        <row r="180">
          <cell r="C180">
            <v>42005</v>
          </cell>
          <cell r="D180">
            <v>0.072273450977413</v>
          </cell>
          <cell r="E180">
            <v>0.357203411688476</v>
          </cell>
          <cell r="F180">
            <v>4.059</v>
          </cell>
        </row>
        <row r="181">
          <cell r="C181">
            <v>42036</v>
          </cell>
          <cell r="D181">
            <v>0.07227312231509</v>
          </cell>
          <cell r="E181">
            <v>0.355266180565148</v>
          </cell>
          <cell r="F181">
            <v>3.977</v>
          </cell>
        </row>
        <row r="182">
          <cell r="C182">
            <v>42064</v>
          </cell>
          <cell r="D182">
            <v>0.072272825458798</v>
          </cell>
          <cell r="E182">
            <v>0.353133326781841</v>
          </cell>
          <cell r="F182">
            <v>3.873</v>
          </cell>
        </row>
        <row r="183">
          <cell r="C183">
            <v>42095</v>
          </cell>
          <cell r="D183">
            <v>0.072272496796475</v>
          </cell>
          <cell r="E183">
            <v>0.351081690255255</v>
          </cell>
          <cell r="F183">
            <v>3.769</v>
          </cell>
        </row>
        <row r="184">
          <cell r="C184">
            <v>42125</v>
          </cell>
          <cell r="D184">
            <v>0.072272178736162</v>
          </cell>
          <cell r="E184">
            <v>0.348974098691824</v>
          </cell>
          <cell r="F184">
            <v>3.766</v>
          </cell>
        </row>
        <row r="185">
          <cell r="C185">
            <v>42156</v>
          </cell>
          <cell r="D185">
            <v>0.072271850073839</v>
          </cell>
          <cell r="E185">
            <v>0.346946662645093</v>
          </cell>
          <cell r="F185">
            <v>3.808</v>
          </cell>
        </row>
        <row r="186">
          <cell r="C186">
            <v>42186</v>
          </cell>
          <cell r="D186">
            <v>0.072271532013526</v>
          </cell>
          <cell r="E186">
            <v>0.344863930169477</v>
          </cell>
          <cell r="F186">
            <v>3.808</v>
          </cell>
        </row>
        <row r="187">
          <cell r="C187">
            <v>42217</v>
          </cell>
          <cell r="D187">
            <v>0.072271203351204</v>
          </cell>
          <cell r="E187">
            <v>0.342793771163238</v>
          </cell>
          <cell r="F187">
            <v>3.868</v>
          </cell>
        </row>
        <row r="188">
          <cell r="C188">
            <v>42248</v>
          </cell>
          <cell r="D188">
            <v>0.072270874688881</v>
          </cell>
          <cell r="E188">
            <v>0.340802294567665</v>
          </cell>
          <cell r="F188">
            <v>3.846</v>
          </cell>
        </row>
        <row r="189">
          <cell r="C189">
            <v>42278</v>
          </cell>
          <cell r="D189">
            <v>0.072270556628569</v>
          </cell>
          <cell r="E189">
            <v>0.338756500199064</v>
          </cell>
          <cell r="F189">
            <v>3.854</v>
          </cell>
        </row>
        <row r="190">
          <cell r="C190">
            <v>42309</v>
          </cell>
          <cell r="D190">
            <v>0.072270227966245</v>
          </cell>
          <cell r="E190">
            <v>0.336788513427634</v>
          </cell>
          <cell r="F190">
            <v>3.903</v>
          </cell>
        </row>
        <row r="191">
          <cell r="C191">
            <v>42339</v>
          </cell>
          <cell r="D191">
            <v>0.072269909905933</v>
          </cell>
          <cell r="E191">
            <v>0.334766848191987</v>
          </cell>
          <cell r="F191">
            <v>3.972</v>
          </cell>
        </row>
        <row r="192">
          <cell r="C192">
            <v>42370</v>
          </cell>
          <cell r="D192">
            <v>0.07226958124361</v>
          </cell>
          <cell r="E192">
            <v>0.332757388666331</v>
          </cell>
          <cell r="F192">
            <v>4.166</v>
          </cell>
        </row>
        <row r="193">
          <cell r="C193">
            <v>42401</v>
          </cell>
          <cell r="D193">
            <v>0.072269252581288</v>
          </cell>
          <cell r="E193">
            <v>0.330888614451864</v>
          </cell>
          <cell r="F193">
            <v>4.088</v>
          </cell>
        </row>
        <row r="194">
          <cell r="C194">
            <v>42430</v>
          </cell>
          <cell r="D194">
            <v>0.072268945122986</v>
          </cell>
          <cell r="E194">
            <v>0.328902363694681</v>
          </cell>
          <cell r="F194">
            <v>3.982</v>
          </cell>
        </row>
        <row r="195">
          <cell r="C195">
            <v>42461</v>
          </cell>
          <cell r="D195">
            <v>0.072268616460663</v>
          </cell>
          <cell r="E195">
            <v>0.326991708910443</v>
          </cell>
          <cell r="F195">
            <v>3.881</v>
          </cell>
        </row>
        <row r="196">
          <cell r="C196">
            <v>42491</v>
          </cell>
          <cell r="D196">
            <v>0.072268298400351</v>
          </cell>
          <cell r="E196">
            <v>0.325028936102839</v>
          </cell>
          <cell r="F196">
            <v>3.879</v>
          </cell>
        </row>
        <row r="197">
          <cell r="C197">
            <v>42522</v>
          </cell>
          <cell r="D197">
            <v>0.072267969738028</v>
          </cell>
          <cell r="E197">
            <v>0.323140816462587</v>
          </cell>
          <cell r="F197">
            <v>3.922</v>
          </cell>
        </row>
        <row r="198">
          <cell r="C198">
            <v>42552</v>
          </cell>
          <cell r="D198">
            <v>0.072267651677717</v>
          </cell>
          <cell r="E198">
            <v>0.321201192179722</v>
          </cell>
          <cell r="F198">
            <v>3.922</v>
          </cell>
        </row>
        <row r="199">
          <cell r="C199">
            <v>42583</v>
          </cell>
          <cell r="D199">
            <v>0.072267323015394</v>
          </cell>
          <cell r="E199">
            <v>0.319273279495946</v>
          </cell>
          <cell r="F199">
            <v>3.982</v>
          </cell>
        </row>
        <row r="200">
          <cell r="C200">
            <v>42614</v>
          </cell>
          <cell r="D200">
            <v>0.072266994353071</v>
          </cell>
          <cell r="E200">
            <v>0.31741864483948</v>
          </cell>
          <cell r="F200">
            <v>3.959</v>
          </cell>
        </row>
        <row r="201">
          <cell r="C201">
            <v>42644</v>
          </cell>
          <cell r="D201">
            <v>0.07226667629276</v>
          </cell>
          <cell r="E201">
            <v>0.315513416992518</v>
          </cell>
          <cell r="F201">
            <v>3.966</v>
          </cell>
        </row>
        <row r="202">
          <cell r="C202">
            <v>42675</v>
          </cell>
          <cell r="D202">
            <v>0.072266347630437</v>
          </cell>
          <cell r="E202">
            <v>0.313680655795919</v>
          </cell>
          <cell r="F202">
            <v>4.01</v>
          </cell>
        </row>
        <row r="203">
          <cell r="C203">
            <v>42705</v>
          </cell>
          <cell r="D203">
            <v>0.072266029570125</v>
          </cell>
          <cell r="E203">
            <v>0.311797896817601</v>
          </cell>
          <cell r="F203">
            <v>4.076</v>
          </cell>
        </row>
        <row r="204">
          <cell r="C204">
            <v>42736</v>
          </cell>
          <cell r="D204">
            <v>0.072265700907803</v>
          </cell>
          <cell r="E204">
            <v>0.309926506923418</v>
          </cell>
          <cell r="F204">
            <v>4.273</v>
          </cell>
        </row>
        <row r="205">
          <cell r="C205">
            <v>42767</v>
          </cell>
          <cell r="D205">
            <v>0.07226537224548</v>
          </cell>
          <cell r="E205">
            <v>0.30824604638171</v>
          </cell>
          <cell r="F205">
            <v>4.199</v>
          </cell>
        </row>
        <row r="206">
          <cell r="C206">
            <v>42795</v>
          </cell>
          <cell r="D206">
            <v>0.072265075389189</v>
          </cell>
          <cell r="E206">
            <v>0.306395849932994</v>
          </cell>
          <cell r="F206">
            <v>4.096</v>
          </cell>
        </row>
        <row r="207">
          <cell r="C207">
            <v>42826</v>
          </cell>
          <cell r="D207">
            <v>0.072264746726868</v>
          </cell>
          <cell r="E207">
            <v>0.304616129662941</v>
          </cell>
          <cell r="F207">
            <v>3.998</v>
          </cell>
        </row>
        <row r="208">
          <cell r="C208">
            <v>42856</v>
          </cell>
          <cell r="D208">
            <v>0.072264428666556</v>
          </cell>
          <cell r="E208">
            <v>0.302787855481346</v>
          </cell>
          <cell r="F208">
            <v>3.997</v>
          </cell>
        </row>
        <row r="209">
          <cell r="C209">
            <v>42887</v>
          </cell>
          <cell r="D209">
            <v>0.072264100004233</v>
          </cell>
          <cell r="E209">
            <v>0.301029123862659</v>
          </cell>
          <cell r="F209">
            <v>4.041</v>
          </cell>
        </row>
        <row r="210">
          <cell r="C210">
            <v>42917</v>
          </cell>
          <cell r="D210">
            <v>0.072263781943921</v>
          </cell>
          <cell r="E210">
            <v>0.299222409707089</v>
          </cell>
          <cell r="F210">
            <v>4.041</v>
          </cell>
        </row>
        <row r="211">
          <cell r="C211">
            <v>42948</v>
          </cell>
          <cell r="D211">
            <v>0.0722634532816</v>
          </cell>
          <cell r="E211">
            <v>0.297426606557095</v>
          </cell>
          <cell r="F211">
            <v>4.101</v>
          </cell>
        </row>
        <row r="212">
          <cell r="C212">
            <v>42979</v>
          </cell>
          <cell r="D212">
            <v>0.072263124619278</v>
          </cell>
          <cell r="E212">
            <v>0.295699062036466</v>
          </cell>
          <cell r="F212">
            <v>4.077</v>
          </cell>
        </row>
        <row r="213">
          <cell r="C213">
            <v>43009</v>
          </cell>
          <cell r="D213">
            <v>0.072262806558966</v>
          </cell>
          <cell r="E213">
            <v>0.293924384013519</v>
          </cell>
          <cell r="F213">
            <v>4.083</v>
          </cell>
        </row>
        <row r="214">
          <cell r="C214">
            <v>43040</v>
          </cell>
          <cell r="D214">
            <v>0.072262477896644</v>
          </cell>
          <cell r="E214">
            <v>0.292217211932288</v>
          </cell>
          <cell r="F214">
            <v>4.122</v>
          </cell>
        </row>
        <row r="215">
          <cell r="C215">
            <v>43070</v>
          </cell>
          <cell r="D215">
            <v>0.072262159836332</v>
          </cell>
          <cell r="E215">
            <v>0.290463460983924</v>
          </cell>
          <cell r="F215">
            <v>4.185</v>
          </cell>
        </row>
        <row r="216">
          <cell r="C216">
            <v>43101</v>
          </cell>
          <cell r="D216">
            <v>0.072261831174011</v>
          </cell>
          <cell r="E216">
            <v>0.288720301973398</v>
          </cell>
          <cell r="F216">
            <v>4.385</v>
          </cell>
        </row>
        <row r="217">
          <cell r="C217">
            <v>43132</v>
          </cell>
          <cell r="D217">
            <v>0.072261502511689</v>
          </cell>
          <cell r="E217">
            <v>0.287154997386165</v>
          </cell>
          <cell r="F217">
            <v>4.315</v>
          </cell>
        </row>
        <row r="218">
          <cell r="C218">
            <v>43160</v>
          </cell>
          <cell r="D218">
            <v>0.072261205655398</v>
          </cell>
          <cell r="E218">
            <v>0.285431568708769</v>
          </cell>
          <cell r="F218">
            <v>4.22</v>
          </cell>
        </row>
        <row r="219">
          <cell r="C219">
            <v>43191</v>
          </cell>
          <cell r="D219">
            <v>0.072260876993076</v>
          </cell>
          <cell r="E219">
            <v>0.28377379783781</v>
          </cell>
          <cell r="F219">
            <v>4.125</v>
          </cell>
        </row>
        <row r="220">
          <cell r="C220">
            <v>43221</v>
          </cell>
          <cell r="D220">
            <v>0.072260558932765</v>
          </cell>
          <cell r="E220">
            <v>0.282070793096567</v>
          </cell>
          <cell r="F220">
            <v>4.125</v>
          </cell>
        </row>
        <row r="221">
          <cell r="C221">
            <v>43252</v>
          </cell>
          <cell r="D221">
            <v>0.072260230270443</v>
          </cell>
          <cell r="E221">
            <v>0.280432570659119</v>
          </cell>
          <cell r="F221">
            <v>4.17</v>
          </cell>
        </row>
        <row r="222">
          <cell r="C222">
            <v>43282</v>
          </cell>
          <cell r="D222">
            <v>0.072259912210132</v>
          </cell>
          <cell r="E222">
            <v>0.278749646600629</v>
          </cell>
          <cell r="F222">
            <v>4.17</v>
          </cell>
        </row>
        <row r="223">
          <cell r="C223">
            <v>43313</v>
          </cell>
          <cell r="D223">
            <v>0.07225958354781</v>
          </cell>
          <cell r="E223">
            <v>0.277076887758068</v>
          </cell>
          <cell r="F223">
            <v>4.23</v>
          </cell>
        </row>
        <row r="224">
          <cell r="C224">
            <v>43344</v>
          </cell>
          <cell r="D224">
            <v>0.072259254885488</v>
          </cell>
          <cell r="E224">
            <v>0.275467712440062</v>
          </cell>
          <cell r="F224">
            <v>4.205</v>
          </cell>
        </row>
        <row r="225">
          <cell r="C225">
            <v>43374</v>
          </cell>
          <cell r="D225">
            <v>0.072258936825177</v>
          </cell>
          <cell r="E225">
            <v>0.27381462639835</v>
          </cell>
          <cell r="F225">
            <v>4.21</v>
          </cell>
        </row>
        <row r="226">
          <cell r="C226">
            <v>43405</v>
          </cell>
          <cell r="D226">
            <v>0.072258608162856</v>
          </cell>
          <cell r="E226">
            <v>0.27222442564486</v>
          </cell>
          <cell r="F226">
            <v>4.244</v>
          </cell>
        </row>
        <row r="227">
          <cell r="C227">
            <v>43435</v>
          </cell>
          <cell r="D227">
            <v>0.072258290102545</v>
          </cell>
          <cell r="E227">
            <v>0.270590830825291</v>
          </cell>
          <cell r="F227">
            <v>4.304</v>
          </cell>
        </row>
        <row r="228">
          <cell r="C228">
            <v>43466</v>
          </cell>
          <cell r="D228">
            <v>0.072257961440223</v>
          </cell>
          <cell r="E228">
            <v>0.268967103993791</v>
          </cell>
          <cell r="F228">
            <v>4.507</v>
          </cell>
        </row>
        <row r="229">
          <cell r="C229">
            <v>43497</v>
          </cell>
          <cell r="D229">
            <v>0.072257632777902</v>
          </cell>
          <cell r="E229">
            <v>0.267509053269771</v>
          </cell>
          <cell r="F229">
            <v>4.441</v>
          </cell>
        </row>
        <row r="230">
          <cell r="C230">
            <v>43525</v>
          </cell>
          <cell r="D230">
            <v>0.072257335921611</v>
          </cell>
          <cell r="E230">
            <v>0.265903694796109</v>
          </cell>
          <cell r="F230">
            <v>4.349</v>
          </cell>
        </row>
        <row r="231">
          <cell r="C231">
            <v>43556</v>
          </cell>
          <cell r="D231">
            <v>0.07225700725929</v>
          </cell>
          <cell r="E231">
            <v>0.264359505639623</v>
          </cell>
          <cell r="F231">
            <v>4.257</v>
          </cell>
        </row>
        <row r="232">
          <cell r="C232">
            <v>43586</v>
          </cell>
          <cell r="D232">
            <v>0.072256689198979</v>
          </cell>
          <cell r="E232">
            <v>0.262773175320567</v>
          </cell>
          <cell r="F232">
            <v>4.258</v>
          </cell>
        </row>
        <row r="233">
          <cell r="C233">
            <v>43617</v>
          </cell>
          <cell r="D233">
            <v>0.072256360536658</v>
          </cell>
          <cell r="E233">
            <v>0.261247193341382</v>
          </cell>
          <cell r="F233">
            <v>4.304</v>
          </cell>
        </row>
        <row r="234">
          <cell r="C234">
            <v>43647</v>
          </cell>
          <cell r="D234">
            <v>0.072256042476347</v>
          </cell>
          <cell r="E234">
            <v>0.25967956600628</v>
          </cell>
          <cell r="F234">
            <v>4.304</v>
          </cell>
        </row>
        <row r="235">
          <cell r="C235">
            <v>43678</v>
          </cell>
          <cell r="D235">
            <v>0.072255713814025</v>
          </cell>
          <cell r="E235">
            <v>0.25812140914456</v>
          </cell>
          <cell r="F235">
            <v>4.364</v>
          </cell>
        </row>
        <row r="236">
          <cell r="C236">
            <v>43709</v>
          </cell>
          <cell r="D236">
            <v>0.072255385151704</v>
          </cell>
          <cell r="E236">
            <v>0.256622481347362</v>
          </cell>
          <cell r="F236">
            <v>4.338</v>
          </cell>
        </row>
        <row r="237">
          <cell r="C237">
            <v>43739</v>
          </cell>
          <cell r="D237">
            <v>0.072255067091394</v>
          </cell>
          <cell r="E237">
            <v>0.255082644940758</v>
          </cell>
          <cell r="F237">
            <v>4.342</v>
          </cell>
        </row>
        <row r="238">
          <cell r="C238">
            <v>43770</v>
          </cell>
          <cell r="D238">
            <v>0.072254738429072</v>
          </cell>
          <cell r="E238">
            <v>0.253601389881273</v>
          </cell>
          <cell r="F238">
            <v>4.371</v>
          </cell>
        </row>
        <row r="239">
          <cell r="C239">
            <v>43800</v>
          </cell>
          <cell r="D239">
            <v>0.072254420368762</v>
          </cell>
          <cell r="E239">
            <v>0.252079707496457</v>
          </cell>
          <cell r="F239">
            <v>4.428</v>
          </cell>
        </row>
        <row r="240">
          <cell r="C240">
            <v>43831</v>
          </cell>
          <cell r="D240">
            <v>0.072254091706441</v>
          </cell>
          <cell r="E240">
            <v>0.250567218700059</v>
          </cell>
          <cell r="F240">
            <v>4.634</v>
          </cell>
        </row>
        <row r="241">
          <cell r="C241">
            <v>43862</v>
          </cell>
          <cell r="D241">
            <v>0.07225376304412</v>
          </cell>
          <cell r="E241">
            <v>0.249160638520721</v>
          </cell>
          <cell r="F241">
            <v>4.572</v>
          </cell>
        </row>
        <row r="242">
          <cell r="C242">
            <v>43891</v>
          </cell>
          <cell r="D242">
            <v>0.07225345558582</v>
          </cell>
          <cell r="E242">
            <v>0.247665590840125</v>
          </cell>
          <cell r="F242">
            <v>4.483</v>
          </cell>
        </row>
        <row r="243">
          <cell r="C243">
            <v>43922</v>
          </cell>
          <cell r="D243">
            <v>0.072253126923498</v>
          </cell>
          <cell r="E243">
            <v>0.246227470286295</v>
          </cell>
          <cell r="F243">
            <v>4.394</v>
          </cell>
        </row>
        <row r="244">
          <cell r="C244">
            <v>43952</v>
          </cell>
          <cell r="D244">
            <v>0.072252808863188</v>
          </cell>
          <cell r="E244">
            <v>0.244750097147456</v>
          </cell>
          <cell r="F244">
            <v>4.396</v>
          </cell>
        </row>
        <row r="245">
          <cell r="C245">
            <v>43983</v>
          </cell>
          <cell r="D245">
            <v>0.072252480200867</v>
          </cell>
          <cell r="E245">
            <v>0.243328931365578</v>
          </cell>
          <cell r="F245">
            <v>4.443</v>
          </cell>
        </row>
        <row r="246">
          <cell r="C246">
            <v>44013</v>
          </cell>
          <cell r="D246">
            <v>0.072252162140557</v>
          </cell>
          <cell r="E246">
            <v>0.241868974771665</v>
          </cell>
          <cell r="F246">
            <v>4.443</v>
          </cell>
        </row>
        <row r="247">
          <cell r="C247">
            <v>44044</v>
          </cell>
          <cell r="D247">
            <v>0.072251212003724</v>
          </cell>
          <cell r="E247">
            <v>0.240420735689242</v>
          </cell>
          <cell r="F247">
            <v>4.503</v>
          </cell>
        </row>
        <row r="248">
          <cell r="C248">
            <v>44075</v>
          </cell>
          <cell r="D248">
            <v>0.072247030199431</v>
          </cell>
          <cell r="E248">
            <v>0.23904268253723</v>
          </cell>
          <cell r="F248">
            <v>4.476</v>
          </cell>
        </row>
        <row r="249">
          <cell r="C249">
            <v>44105</v>
          </cell>
          <cell r="D249">
            <v>0.072242983292057</v>
          </cell>
          <cell r="E249">
            <v>0.237625883609751</v>
          </cell>
          <cell r="F249">
            <v>4.479</v>
          </cell>
        </row>
        <row r="250">
          <cell r="C250">
            <v>44136</v>
          </cell>
          <cell r="D250">
            <v>0.072238801487776</v>
          </cell>
          <cell r="E250">
            <v>0.236264163549059</v>
          </cell>
          <cell r="F250">
            <v>4.503</v>
          </cell>
        </row>
        <row r="251">
          <cell r="C251">
            <v>44166</v>
          </cell>
          <cell r="D251">
            <v>0.072234754580412</v>
          </cell>
          <cell r="E251">
            <v>0.234864144409574</v>
          </cell>
          <cell r="F251">
            <v>4.557</v>
          </cell>
        </row>
        <row r="252">
          <cell r="C252">
            <v>44197</v>
          </cell>
          <cell r="D252">
            <v>0.072230572776142</v>
          </cell>
          <cell r="E252">
            <v>0.233473199294458</v>
          </cell>
          <cell r="F252">
            <v>4.766</v>
          </cell>
        </row>
        <row r="253">
          <cell r="C253">
            <v>44228</v>
          </cell>
          <cell r="D253">
            <v>0.072226390971878</v>
          </cell>
          <cell r="E253">
            <v>0.232225946814374</v>
          </cell>
          <cell r="F253">
            <v>4.708</v>
          </cell>
        </row>
        <row r="254">
          <cell r="C254">
            <v>44256</v>
          </cell>
          <cell r="D254">
            <v>0.072222613858354</v>
          </cell>
          <cell r="E254">
            <v>0.230849071661472</v>
          </cell>
          <cell r="F254">
            <v>4.622</v>
          </cell>
        </row>
        <row r="255">
          <cell r="C255">
            <v>44287</v>
          </cell>
          <cell r="D255">
            <v>0.072218432054101</v>
          </cell>
          <cell r="E255">
            <v>0.229526940053274</v>
          </cell>
          <cell r="F255">
            <v>4.536</v>
          </cell>
        </row>
        <row r="256">
          <cell r="C256">
            <v>44317</v>
          </cell>
          <cell r="D256">
            <v>0.072214385146765</v>
          </cell>
          <cell r="E256">
            <v>0.228167592676448</v>
          </cell>
          <cell r="F256">
            <v>4.539</v>
          </cell>
        </row>
        <row r="257">
          <cell r="C257">
            <v>44348</v>
          </cell>
          <cell r="D257">
            <v>0.072210203342523</v>
          </cell>
          <cell r="E257">
            <v>0.226861119561687</v>
          </cell>
          <cell r="F257">
            <v>4.587</v>
          </cell>
        </row>
        <row r="258">
          <cell r="C258">
            <v>44378</v>
          </cell>
          <cell r="D258">
            <v>0.072206156435198</v>
          </cell>
          <cell r="E258">
            <v>0.225517859400215</v>
          </cell>
          <cell r="F258">
            <v>4.587</v>
          </cell>
        </row>
        <row r="259">
          <cell r="C259">
            <v>44409</v>
          </cell>
          <cell r="D259">
            <v>0.072201974630968</v>
          </cell>
          <cell r="E259">
            <v>0.22418331676848</v>
          </cell>
          <cell r="F259">
            <v>4.647</v>
          </cell>
        </row>
        <row r="260">
          <cell r="C260">
            <v>44440</v>
          </cell>
          <cell r="D260">
            <v>0.072197792826743</v>
          </cell>
          <cell r="E260">
            <v>0.222900103375881</v>
          </cell>
          <cell r="F260">
            <v>4.619</v>
          </cell>
        </row>
        <row r="261">
          <cell r="C261">
            <v>44470</v>
          </cell>
          <cell r="D261">
            <v>0.072193745919435</v>
          </cell>
          <cell r="E261">
            <v>0.221580740030981</v>
          </cell>
          <cell r="F261">
            <v>4.621</v>
          </cell>
        </row>
        <row r="262">
          <cell r="C262">
            <v>44501</v>
          </cell>
          <cell r="D262">
            <v>0.072189564115221</v>
          </cell>
          <cell r="E262">
            <v>0.220312715944162</v>
          </cell>
          <cell r="F262">
            <v>4.64</v>
          </cell>
        </row>
        <row r="263">
          <cell r="C263">
            <v>44531</v>
          </cell>
          <cell r="D263">
            <v>0.072185517207924</v>
          </cell>
          <cell r="E263">
            <v>0.219008958113709</v>
          </cell>
          <cell r="F263">
            <v>4.691</v>
          </cell>
        </row>
        <row r="264">
          <cell r="C264">
            <v>44562</v>
          </cell>
          <cell r="D264">
            <v>0.072181335403722</v>
          </cell>
          <cell r="E264">
            <v>0.217713669438172</v>
          </cell>
          <cell r="F264">
            <v>4.903</v>
          </cell>
        </row>
        <row r="265">
          <cell r="C265">
            <v>44593</v>
          </cell>
          <cell r="D265">
            <v>0.072177153599526</v>
          </cell>
          <cell r="E265">
            <v>0.216552269734417</v>
          </cell>
          <cell r="F265">
            <v>4.849</v>
          </cell>
        </row>
        <row r="266">
          <cell r="C266">
            <v>44621</v>
          </cell>
          <cell r="D266">
            <v>0.072173376486063</v>
          </cell>
          <cell r="E266">
            <v>0.215269977195878</v>
          </cell>
          <cell r="F266">
            <v>4.766</v>
          </cell>
        </row>
        <row r="267">
          <cell r="C267">
            <v>44652</v>
          </cell>
          <cell r="D267">
            <v>0.072169194681878</v>
          </cell>
          <cell r="E267">
            <v>0.214038770206707</v>
          </cell>
          <cell r="F267">
            <v>4.683</v>
          </cell>
        </row>
        <row r="268">
          <cell r="C268">
            <v>44682</v>
          </cell>
          <cell r="D268">
            <v>0.072165147774608</v>
          </cell>
          <cell r="E268">
            <v>0.212772838872764</v>
          </cell>
          <cell r="F268">
            <v>4.687</v>
          </cell>
        </row>
        <row r="269">
          <cell r="C269">
            <v>44713</v>
          </cell>
          <cell r="D269">
            <v>0.072160965970435</v>
          </cell>
          <cell r="E269">
            <v>0.211556194605496</v>
          </cell>
          <cell r="F269">
            <v>4.736</v>
          </cell>
        </row>
        <row r="270">
          <cell r="C270">
            <v>44743</v>
          </cell>
          <cell r="D270">
            <v>0.072156919063175</v>
          </cell>
          <cell r="E270">
            <v>0.210305225475556</v>
          </cell>
          <cell r="F270">
            <v>4.736</v>
          </cell>
        </row>
        <row r="271">
          <cell r="C271">
            <v>44774</v>
          </cell>
          <cell r="D271">
            <v>0.072152737259013</v>
          </cell>
          <cell r="E271">
            <v>0.209062393230688</v>
          </cell>
          <cell r="F271">
            <v>4.796</v>
          </cell>
        </row>
        <row r="272">
          <cell r="C272">
            <v>44805</v>
          </cell>
          <cell r="D272">
            <v>0.072148555454856</v>
          </cell>
          <cell r="E272">
            <v>0.207867381398651</v>
          </cell>
          <cell r="F272">
            <v>4.767</v>
          </cell>
        </row>
        <row r="273">
          <cell r="C273">
            <v>44835</v>
          </cell>
          <cell r="D273">
            <v>0.072144508547613</v>
          </cell>
          <cell r="E273">
            <v>0.206638638358474</v>
          </cell>
          <cell r="F273">
            <v>4.768</v>
          </cell>
        </row>
        <row r="274">
          <cell r="C274">
            <v>44866</v>
          </cell>
          <cell r="D274">
            <v>0.072140326743468</v>
          </cell>
          <cell r="E274">
            <v>0.205457753435155</v>
          </cell>
          <cell r="F274">
            <v>4.782</v>
          </cell>
        </row>
        <row r="275">
          <cell r="C275">
            <v>44896</v>
          </cell>
          <cell r="D275">
            <v>0.072136279836236</v>
          </cell>
          <cell r="E275">
            <v>0.204243525140933</v>
          </cell>
          <cell r="F275">
            <v>4.83</v>
          </cell>
        </row>
        <row r="276">
          <cell r="C276">
            <v>44927</v>
          </cell>
          <cell r="D276">
            <v>0.072132098032103</v>
          </cell>
          <cell r="E276">
            <v>0.203037202223627</v>
          </cell>
          <cell r="F276">
            <v>5.045</v>
          </cell>
        </row>
        <row r="277">
          <cell r="C277">
            <v>44958</v>
          </cell>
          <cell r="D277">
            <v>0.072127916227974</v>
          </cell>
          <cell r="E277">
            <v>0.201955645285255</v>
          </cell>
          <cell r="F277">
            <v>4.995</v>
          </cell>
        </row>
        <row r="278">
          <cell r="C278">
            <v>44986</v>
          </cell>
          <cell r="D278">
            <v>0.072124139114574</v>
          </cell>
          <cell r="E278">
            <v>0.200761326724041</v>
          </cell>
          <cell r="F278">
            <v>4.915</v>
          </cell>
        </row>
        <row r="279">
          <cell r="C279">
            <v>45017</v>
          </cell>
          <cell r="D279">
            <v>0.072119957310457</v>
          </cell>
          <cell r="E279">
            <v>0.199614684678188</v>
          </cell>
          <cell r="F279">
            <v>4.835</v>
          </cell>
        </row>
        <row r="280">
          <cell r="C280">
            <v>45047</v>
          </cell>
          <cell r="D280">
            <v>0.072115910403252</v>
          </cell>
          <cell r="E280">
            <v>0.198435639878301</v>
          </cell>
          <cell r="F280">
            <v>4.84</v>
          </cell>
        </row>
        <row r="281">
          <cell r="C281">
            <v>45078</v>
          </cell>
          <cell r="D281">
            <v>0.072111728599146</v>
          </cell>
          <cell r="E281">
            <v>0.197302542701646</v>
          </cell>
          <cell r="F281">
            <v>4.89</v>
          </cell>
        </row>
        <row r="282">
          <cell r="C282">
            <v>45108</v>
          </cell>
          <cell r="D282">
            <v>0.072107681691953</v>
          </cell>
          <cell r="E282">
            <v>0.1961374150417</v>
          </cell>
          <cell r="F282">
            <v>4.89</v>
          </cell>
        </row>
        <row r="283">
          <cell r="C283">
            <v>45139</v>
          </cell>
          <cell r="D283">
            <v>0.072103499887858</v>
          </cell>
          <cell r="E283">
            <v>0.194979883037894</v>
          </cell>
          <cell r="F283">
            <v>4.95</v>
          </cell>
        </row>
        <row r="284">
          <cell r="C284">
            <v>45170</v>
          </cell>
          <cell r="D284">
            <v>0.07209931808377</v>
          </cell>
          <cell r="E284">
            <v>0.193866906695248</v>
          </cell>
          <cell r="F284">
            <v>4.92</v>
          </cell>
        </row>
        <row r="285">
          <cell r="C285">
            <v>45200</v>
          </cell>
          <cell r="D285">
            <v>0.072095271176593</v>
          </cell>
          <cell r="E285">
            <v>0.192722453096814</v>
          </cell>
          <cell r="F285">
            <v>4.92</v>
          </cell>
        </row>
        <row r="286">
          <cell r="C286">
            <v>45231</v>
          </cell>
          <cell r="D286">
            <v>0.072091089372516</v>
          </cell>
          <cell r="E286">
            <v>0.191622616774267</v>
          </cell>
          <cell r="F286">
            <v>4.929</v>
          </cell>
        </row>
        <row r="287">
          <cell r="C287">
            <v>45261</v>
          </cell>
          <cell r="D287">
            <v>0.07208704246535</v>
          </cell>
          <cell r="E287">
            <v>0.190491664628969</v>
          </cell>
          <cell r="F287">
            <v>4.974</v>
          </cell>
        </row>
        <row r="288">
          <cell r="C288">
            <v>45292</v>
          </cell>
          <cell r="D288">
            <v>0.072082860661284</v>
          </cell>
          <cell r="E288">
            <v>0.18936809233231</v>
          </cell>
          <cell r="F288">
            <v>5.192</v>
          </cell>
        </row>
        <row r="289">
          <cell r="C289">
            <v>45323</v>
          </cell>
          <cell r="D289">
            <v>0.072078678857224</v>
          </cell>
          <cell r="E289">
            <v>0.188324282083258</v>
          </cell>
          <cell r="F289">
            <v>5.146</v>
          </cell>
        </row>
        <row r="290">
          <cell r="C290">
            <v>45352</v>
          </cell>
          <cell r="D290">
            <v>0.072074766846979</v>
          </cell>
          <cell r="E290">
            <v>0.187212592448266</v>
          </cell>
          <cell r="F290">
            <v>5.069</v>
          </cell>
        </row>
        <row r="291">
          <cell r="C291">
            <v>45383</v>
          </cell>
          <cell r="D291">
            <v>0.072070585042931</v>
          </cell>
          <cell r="E291">
            <v>0.186144815456238</v>
          </cell>
          <cell r="F291">
            <v>4.992</v>
          </cell>
        </row>
        <row r="292">
          <cell r="C292">
            <v>45413</v>
          </cell>
          <cell r="D292">
            <v>0.072066538135792</v>
          </cell>
          <cell r="E292">
            <v>0.185046804964527</v>
          </cell>
          <cell r="F292">
            <v>4.998</v>
          </cell>
        </row>
        <row r="293">
          <cell r="C293">
            <v>45444</v>
          </cell>
          <cell r="D293">
            <v>0.072062356331754</v>
          </cell>
          <cell r="E293">
            <v>0.183991624786014</v>
          </cell>
          <cell r="F293">
            <v>0</v>
          </cell>
        </row>
        <row r="294">
          <cell r="C294">
            <v>45474</v>
          </cell>
          <cell r="D294">
            <v>0.072058309424627</v>
          </cell>
          <cell r="E294">
            <v>0.182906557985761</v>
          </cell>
          <cell r="F294">
            <v>0</v>
          </cell>
        </row>
        <row r="295">
          <cell r="C295">
            <v>45505</v>
          </cell>
          <cell r="D295">
            <v>0.072054127620601</v>
          </cell>
          <cell r="E295">
            <v>0.181828580970286</v>
          </cell>
          <cell r="F295">
            <v>0</v>
          </cell>
        </row>
        <row r="296">
          <cell r="C296">
            <v>45536</v>
          </cell>
          <cell r="D296">
            <v>0.072049945816581</v>
          </cell>
          <cell r="E296">
            <v>0.180792113652791</v>
          </cell>
          <cell r="F296">
            <v>0</v>
          </cell>
        </row>
        <row r="297">
          <cell r="C297">
            <v>45566</v>
          </cell>
          <cell r="D297">
            <v>0.07204589890947</v>
          </cell>
          <cell r="E297">
            <v>0.179726275215061</v>
          </cell>
          <cell r="F297">
            <v>0</v>
          </cell>
        </row>
        <row r="298">
          <cell r="C298">
            <v>45597</v>
          </cell>
          <cell r="D298">
            <v>0.07204171710546</v>
          </cell>
          <cell r="E298">
            <v>0.178702028668107</v>
          </cell>
          <cell r="F298">
            <v>0</v>
          </cell>
        </row>
        <row r="299">
          <cell r="C299">
            <v>45627</v>
          </cell>
          <cell r="D299">
            <v>0.072037670198361</v>
          </cell>
          <cell r="E299">
            <v>0.177648747793427</v>
          </cell>
          <cell r="F299">
            <v>0</v>
          </cell>
        </row>
        <row r="300">
          <cell r="C300">
            <v>45658</v>
          </cell>
          <cell r="D300">
            <v>0.072033488394363</v>
          </cell>
          <cell r="E300">
            <v>0.176602355551279</v>
          </cell>
          <cell r="F300">
            <v>0</v>
          </cell>
        </row>
        <row r="301">
          <cell r="C301">
            <v>45689</v>
          </cell>
          <cell r="D301">
            <v>0.072029306590371</v>
          </cell>
          <cell r="E301">
            <v>0.175664315691424</v>
          </cell>
          <cell r="F301">
            <v>0</v>
          </cell>
        </row>
        <row r="302">
          <cell r="C302">
            <v>45717</v>
          </cell>
          <cell r="D302">
            <v>0.072025529477093</v>
          </cell>
          <cell r="E302">
            <v>0.174628163460365</v>
          </cell>
          <cell r="F302">
            <v>0</v>
          </cell>
        </row>
        <row r="303">
          <cell r="C303">
            <v>45748</v>
          </cell>
          <cell r="D303">
            <v>0.072021347673112</v>
          </cell>
          <cell r="E303">
            <v>0.17363354098226</v>
          </cell>
          <cell r="F303">
            <v>0</v>
          </cell>
        </row>
        <row r="304">
          <cell r="C304">
            <v>45778</v>
          </cell>
          <cell r="D304">
            <v>0.07201730076604</v>
          </cell>
          <cell r="E304">
            <v>0.172610701038781</v>
          </cell>
          <cell r="F304">
            <v>0</v>
          </cell>
        </row>
        <row r="305">
          <cell r="C305">
            <v>45809</v>
          </cell>
          <cell r="D305">
            <v>0.07201311896207</v>
          </cell>
          <cell r="E305">
            <v>0.171627797071219</v>
          </cell>
          <cell r="F305">
            <v>0</v>
          </cell>
        </row>
        <row r="306">
          <cell r="C306">
            <v>45839</v>
          </cell>
          <cell r="D306">
            <v>0.072009072055009</v>
          </cell>
          <cell r="E306">
            <v>0.170616998947687</v>
          </cell>
          <cell r="F306">
            <v>0</v>
          </cell>
        </row>
        <row r="307">
          <cell r="C307">
            <v>45870</v>
          </cell>
          <cell r="D307">
            <v>0.07200489025105</v>
          </cell>
          <cell r="E307">
            <v>0.169612820321515</v>
          </cell>
          <cell r="F307">
            <v>0</v>
          </cell>
        </row>
        <row r="308">
          <cell r="C308">
            <v>45901</v>
          </cell>
          <cell r="D308">
            <v>0.072000708447098</v>
          </cell>
          <cell r="E308">
            <v>0.168647324808317</v>
          </cell>
          <cell r="F308">
            <v>0</v>
          </cell>
        </row>
        <row r="309">
          <cell r="C309">
            <v>45931</v>
          </cell>
          <cell r="D309">
            <v>0.071996661540053</v>
          </cell>
          <cell r="E309">
            <v>0.167654415624272</v>
          </cell>
          <cell r="F309">
            <v>0</v>
          </cell>
        </row>
        <row r="310">
          <cell r="C310">
            <v>45962</v>
          </cell>
          <cell r="D310">
            <v>0.071992479736112</v>
          </cell>
          <cell r="E310">
            <v>0.166700289233255</v>
          </cell>
          <cell r="F310">
            <v>0</v>
          </cell>
        </row>
        <row r="311">
          <cell r="C311">
            <v>45992</v>
          </cell>
          <cell r="D311">
            <v>0.071988432829078</v>
          </cell>
          <cell r="E311">
            <v>0.165719063092722</v>
          </cell>
          <cell r="F311">
            <v>0</v>
          </cell>
        </row>
        <row r="312">
          <cell r="C312">
            <v>46023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2.7"/>
    <col collapsed="false" customWidth="true" hidden="false" outlineLevel="0" max="3" min="3" style="0" width="42.99"/>
    <col collapsed="false" customWidth="true" hidden="false" outlineLevel="0" max="4" min="4" style="0" width="18.7"/>
    <col collapsed="false" customWidth="true" hidden="false" outlineLevel="0" max="5" min="5" style="0" width="20.28"/>
    <col collapsed="false" customWidth="true" hidden="false" outlineLevel="0" max="6" min="6" style="0" width="3.14"/>
    <col collapsed="false" customWidth="true" hidden="false" outlineLevel="0" max="7" min="7" style="0" width="26.84"/>
    <col collapsed="false" customWidth="true" hidden="false" outlineLevel="0" max="10" min="8" style="0" width="15.7"/>
    <col collapsed="false" customWidth="true" hidden="false" outlineLevel="0" max="11" min="11" style="0" width="14.14"/>
  </cols>
  <sheetData>
    <row r="1" customFormat="false" ht="7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8.25" hidden="false" customHeight="true" outlineLevel="0" collapsed="false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customFormat="false" ht="20.25" hidden="false" customHeight="false" outlineLevel="0" collapsed="false">
      <c r="A3" s="1"/>
      <c r="B3" s="5"/>
      <c r="C3" s="6" t="s">
        <v>0</v>
      </c>
      <c r="D3" s="7"/>
      <c r="E3" s="7"/>
      <c r="F3" s="7"/>
      <c r="G3" s="8"/>
      <c r="H3" s="8"/>
      <c r="I3" s="8"/>
      <c r="J3" s="8"/>
      <c r="K3" s="7"/>
      <c r="L3" s="7"/>
      <c r="M3" s="7"/>
      <c r="N3" s="7"/>
      <c r="O3" s="7"/>
      <c r="P3" s="7"/>
      <c r="Q3" s="7"/>
      <c r="R3" s="7"/>
      <c r="S3" s="7"/>
      <c r="T3" s="7"/>
      <c r="U3" s="9"/>
    </row>
    <row r="4" customFormat="false" ht="27.75" hidden="false" customHeight="true" outlineLevel="0" collapsed="false">
      <c r="A4" s="1"/>
      <c r="B4" s="5"/>
      <c r="C4" s="10" t="s">
        <v>1</v>
      </c>
      <c r="D4" s="11"/>
      <c r="E4" s="7"/>
      <c r="F4" s="7"/>
      <c r="G4" s="12" t="s">
        <v>2</v>
      </c>
      <c r="H4" s="13" t="s">
        <v>3</v>
      </c>
      <c r="I4" s="14" t="s">
        <v>4</v>
      </c>
      <c r="J4" s="14" t="s">
        <v>5</v>
      </c>
      <c r="K4" s="7"/>
      <c r="L4" s="7"/>
      <c r="M4" s="7"/>
      <c r="N4" s="7"/>
      <c r="O4" s="7"/>
      <c r="P4" s="7"/>
      <c r="Q4" s="7"/>
      <c r="R4" s="7"/>
      <c r="S4" s="7"/>
      <c r="T4" s="7"/>
      <c r="U4" s="9"/>
    </row>
    <row r="5" customFormat="false" ht="21.75" hidden="false" customHeight="true" outlineLevel="0" collapsed="false">
      <c r="A5" s="1"/>
      <c r="B5" s="5"/>
      <c r="C5" s="15" t="s">
        <v>6</v>
      </c>
      <c r="D5" s="16" t="n">
        <f aca="false">+vessel_m3_choice</f>
        <v>87600</v>
      </c>
      <c r="E5" s="7"/>
      <c r="F5" s="7"/>
      <c r="G5" s="17" t="s">
        <v>7</v>
      </c>
      <c r="H5" s="18" t="e">
        <f aca="false">+CALC!H6</f>
        <v>#DIV/0!</v>
      </c>
      <c r="I5" s="19" t="e">
        <f aca="false">+H5*vessel_mmbtu</f>
        <v>#DIV/0!</v>
      </c>
      <c r="J5" s="19" t="e">
        <f aca="false">+I5*TripsYear</f>
        <v>#DIV/0!</v>
      </c>
      <c r="K5" s="7"/>
      <c r="L5" s="7"/>
      <c r="M5" s="7"/>
      <c r="N5" s="7"/>
      <c r="O5" s="7"/>
      <c r="P5" s="7"/>
      <c r="Q5" s="7"/>
      <c r="R5" s="7"/>
      <c r="S5" s="7"/>
      <c r="T5" s="7"/>
      <c r="U5" s="9"/>
    </row>
    <row r="6" customFormat="false" ht="21.75" hidden="false" customHeight="true" outlineLevel="0" collapsed="false">
      <c r="A6" s="1"/>
      <c r="B6" s="5"/>
      <c r="C6" s="15" t="s">
        <v>8</v>
      </c>
      <c r="D6" s="16" t="n">
        <f aca="false">+vessel_mmbtu_choice</f>
        <v>2041080</v>
      </c>
      <c r="E6" s="7"/>
      <c r="F6" s="7"/>
      <c r="G6" s="20" t="s">
        <v>9</v>
      </c>
      <c r="H6" s="18" t="e">
        <f aca="false">+CALC!I6</f>
        <v>#DIV/0!</v>
      </c>
      <c r="I6" s="19" t="e">
        <f aca="false">+H6*vessel_mmbtu</f>
        <v>#DIV/0!</v>
      </c>
      <c r="J6" s="19" t="e">
        <f aca="false">+I6*TripsYear</f>
        <v>#DIV/0!</v>
      </c>
      <c r="K6" s="7"/>
      <c r="L6" s="7"/>
      <c r="M6" s="7"/>
      <c r="N6" s="7"/>
      <c r="O6" s="7"/>
      <c r="P6" s="7"/>
      <c r="Q6" s="7"/>
      <c r="R6" s="7"/>
      <c r="S6" s="7"/>
      <c r="T6" s="7"/>
      <c r="U6" s="9"/>
    </row>
    <row r="7" customFormat="false" ht="21.75" hidden="false" customHeight="true" outlineLevel="0" collapsed="false">
      <c r="A7" s="1"/>
      <c r="B7" s="5"/>
      <c r="C7" s="21" t="s">
        <v>10</v>
      </c>
      <c r="D7" s="22" t="n">
        <f aca="false">+vessel_speed_choice</f>
        <v>17.5</v>
      </c>
      <c r="E7" s="7"/>
      <c r="F7" s="7"/>
      <c r="G7" s="20" t="s">
        <v>11</v>
      </c>
      <c r="H7" s="18" t="e">
        <f aca="false">+CALC!J6</f>
        <v>#DIV/0!</v>
      </c>
      <c r="I7" s="19" t="e">
        <f aca="false">+H7*vessel_mmbtu</f>
        <v>#DIV/0!</v>
      </c>
      <c r="J7" s="19" t="e">
        <f aca="false">+I7*TripsYear</f>
        <v>#DIV/0!</v>
      </c>
      <c r="K7" s="7"/>
      <c r="L7" s="7"/>
      <c r="M7" s="7"/>
      <c r="N7" s="7"/>
      <c r="O7" s="7"/>
      <c r="P7" s="7"/>
      <c r="Q7" s="7"/>
      <c r="R7" s="7"/>
      <c r="S7" s="7"/>
      <c r="T7" s="7"/>
      <c r="U7" s="9"/>
    </row>
    <row r="8" customFormat="false" ht="20.25" hidden="false" customHeight="true" outlineLevel="0" collapsed="false">
      <c r="A8" s="1"/>
      <c r="B8" s="5"/>
      <c r="C8" s="23"/>
      <c r="D8" s="24"/>
      <c r="E8" s="7"/>
      <c r="F8" s="7"/>
      <c r="G8" s="20" t="s">
        <v>12</v>
      </c>
      <c r="H8" s="18" t="e">
        <f aca="false">+CALC!K6</f>
        <v>#DIV/0!</v>
      </c>
      <c r="I8" s="19" t="e">
        <f aca="false">+H8*vessel_mmbtu</f>
        <v>#DIV/0!</v>
      </c>
      <c r="J8" s="19" t="e">
        <f aca="false">+I8*TripsYear</f>
        <v>#DIV/0!</v>
      </c>
      <c r="K8" s="7"/>
      <c r="L8" s="7"/>
      <c r="M8" s="7"/>
      <c r="N8" s="7"/>
      <c r="O8" s="7"/>
      <c r="P8" s="7"/>
      <c r="Q8" s="7"/>
      <c r="R8" s="7"/>
      <c r="S8" s="7"/>
      <c r="T8" s="7"/>
      <c r="U8" s="9"/>
    </row>
    <row r="9" customFormat="false" ht="21.75" hidden="false" customHeight="true" outlineLevel="0" collapsed="false">
      <c r="A9" s="1"/>
      <c r="B9" s="5"/>
      <c r="C9" s="10" t="s">
        <v>13</v>
      </c>
      <c r="D9" s="25"/>
      <c r="E9" s="7"/>
      <c r="F9" s="7"/>
      <c r="G9" s="20" t="s">
        <v>14</v>
      </c>
      <c r="H9" s="18" t="e">
        <f aca="false">+CALC!L6</f>
        <v>#DIV/0!</v>
      </c>
      <c r="I9" s="19" t="e">
        <f aca="false">+H9*vessel_mmbtu</f>
        <v>#DIV/0!</v>
      </c>
      <c r="J9" s="19" t="e">
        <f aca="false">+I9*TripsYear</f>
        <v>#DIV/0!</v>
      </c>
      <c r="K9" s="7"/>
      <c r="L9" s="7"/>
      <c r="M9" s="7"/>
      <c r="N9" s="7"/>
      <c r="O9" s="7"/>
      <c r="P9" s="7"/>
      <c r="Q9" s="7"/>
      <c r="R9" s="7"/>
      <c r="S9" s="7"/>
      <c r="T9" s="7"/>
      <c r="U9" s="9"/>
    </row>
    <row r="10" customFormat="false" ht="21.75" hidden="false" customHeight="true" outlineLevel="0" collapsed="false">
      <c r="A10" s="1"/>
      <c r="B10" s="5"/>
      <c r="C10" s="15" t="s">
        <v>15</v>
      </c>
      <c r="D10" s="26"/>
      <c r="E10" s="7"/>
      <c r="F10" s="7"/>
      <c r="G10" s="20" t="s">
        <v>16</v>
      </c>
      <c r="H10" s="18" t="e">
        <f aca="false">+CALC!M6</f>
        <v>#DIV/0!</v>
      </c>
      <c r="I10" s="19" t="e">
        <f aca="false">+H10*vessel_mmbtu</f>
        <v>#DIV/0!</v>
      </c>
      <c r="J10" s="19" t="e">
        <f aca="false">+I10*TripsYear</f>
        <v>#DIV/0!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9"/>
    </row>
    <row r="11" customFormat="false" ht="21.75" hidden="false" customHeight="true" outlineLevel="0" collapsed="false">
      <c r="A11" s="1"/>
      <c r="B11" s="5"/>
      <c r="C11" s="21" t="s">
        <v>17</v>
      </c>
      <c r="D11" s="27"/>
      <c r="E11" s="7"/>
      <c r="F11" s="7"/>
      <c r="G11" s="28" t="s">
        <v>18</v>
      </c>
      <c r="H11" s="18" t="e">
        <f aca="false">+CALC!N6</f>
        <v>#DIV/0!</v>
      </c>
      <c r="I11" s="19" t="e">
        <f aca="false">+H11*vessel_mmbtu</f>
        <v>#DIV/0!</v>
      </c>
      <c r="J11" s="19" t="e">
        <f aca="false">+I11*TripsYear</f>
        <v>#DIV/0!</v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9"/>
    </row>
    <row r="12" customFormat="false" ht="18.75" hidden="false" customHeight="true" outlineLevel="0" collapsed="false">
      <c r="A12" s="1"/>
      <c r="B12" s="5"/>
      <c r="C12" s="7"/>
      <c r="D12" s="29"/>
      <c r="E12" s="7"/>
      <c r="F12" s="7"/>
      <c r="G12" s="12" t="s">
        <v>19</v>
      </c>
      <c r="H12" s="30" t="e">
        <f aca="false">SUM(H5:H11)</f>
        <v>#DIV/0!</v>
      </c>
      <c r="I12" s="31" t="e">
        <f aca="false">+H12*vessel_mmbtu</f>
        <v>#DIV/0!</v>
      </c>
      <c r="J12" s="31" t="e">
        <f aca="false">+I12*TripsYear</f>
        <v>#DIV/0!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9"/>
    </row>
    <row r="13" customFormat="false" ht="21.75" hidden="false" customHeight="true" outlineLevel="0" collapsed="false">
      <c r="A13" s="1"/>
      <c r="B13" s="5"/>
      <c r="C13" s="32" t="s">
        <v>20</v>
      </c>
      <c r="D13" s="33" t="n">
        <v>37712</v>
      </c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9"/>
    </row>
    <row r="14" customFormat="false" ht="21.75" hidden="false" customHeight="true" outlineLevel="0" collapsed="false">
      <c r="A14" s="1"/>
      <c r="B14" s="5"/>
      <c r="C14" s="34" t="s">
        <v>21</v>
      </c>
      <c r="D14" s="35" t="n">
        <v>37712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9"/>
    </row>
    <row r="15" customFormat="false" ht="28.5" hidden="false" customHeight="true" outlineLevel="0" collapsed="false">
      <c r="A15" s="1"/>
      <c r="B15" s="5"/>
      <c r="C15" s="7"/>
      <c r="D15" s="29"/>
      <c r="E15" s="36"/>
      <c r="F15" s="3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9"/>
    </row>
    <row r="16" customFormat="false" ht="15.75" hidden="false" customHeight="true" outlineLevel="0" collapsed="false">
      <c r="A16" s="1"/>
      <c r="B16" s="5"/>
      <c r="C16" s="37" t="s">
        <v>22</v>
      </c>
      <c r="D16" s="3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9"/>
    </row>
    <row r="17" customFormat="false" ht="19.5" hidden="false" customHeight="true" outlineLevel="0" collapsed="false">
      <c r="A17" s="1"/>
      <c r="B17" s="5"/>
      <c r="C17" s="15" t="s">
        <v>23</v>
      </c>
      <c r="D17" s="16" t="n">
        <f aca="false">+roundtrip_miles_calc</f>
        <v>17332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9"/>
    </row>
    <row r="18" customFormat="false" ht="19.5" hidden="false" customHeight="true" outlineLevel="0" collapsed="false">
      <c r="A18" s="1"/>
      <c r="B18" s="5"/>
      <c r="C18" s="15" t="s">
        <v>24</v>
      </c>
      <c r="D18" s="16" t="n">
        <f aca="false">+roundtrip_days_calc</f>
        <v>48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9"/>
    </row>
    <row r="19" customFormat="false" ht="19.5" hidden="false" customHeight="true" outlineLevel="0" collapsed="false">
      <c r="A19" s="1"/>
      <c r="B19" s="5"/>
      <c r="C19" s="21" t="s">
        <v>25</v>
      </c>
      <c r="D19" s="22" t="n">
        <f aca="false">365.25/roundtrip_days</f>
        <v>7.609375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9"/>
    </row>
    <row r="20" customFormat="false" ht="18" hidden="false" customHeight="false" outlineLevel="0" collapsed="false">
      <c r="A20" s="1"/>
      <c r="B20" s="5"/>
      <c r="C20" s="38"/>
      <c r="D20" s="39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9"/>
    </row>
    <row r="21" customFormat="false" ht="15.75" hidden="false" customHeight="false" outlineLevel="0" collapsed="false">
      <c r="A21" s="1"/>
      <c r="B21" s="5"/>
      <c r="C21" s="40" t="s">
        <v>26</v>
      </c>
      <c r="D21" s="41" t="s">
        <v>27</v>
      </c>
      <c r="E21" s="42" t="s">
        <v>28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9"/>
    </row>
    <row r="22" customFormat="false" ht="19.5" hidden="false" customHeight="true" outlineLevel="0" collapsed="false">
      <c r="A22" s="1"/>
      <c r="B22" s="5"/>
      <c r="C22" s="43" t="s">
        <v>29</v>
      </c>
      <c r="D22" s="44" t="n">
        <f aca="false">IF(vessel_uom_choice="mmbtu",vessel_mmbtu,vessel_m3)</f>
        <v>2041080</v>
      </c>
      <c r="E22" s="44" t="n">
        <f aca="false">+TripsYear*D22</f>
        <v>15531343.125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9"/>
    </row>
    <row r="23" customFormat="false" ht="19.5" hidden="false" customHeight="true" outlineLevel="0" collapsed="false">
      <c r="A23" s="1"/>
      <c r="B23" s="5"/>
      <c r="C23" s="15" t="s">
        <v>30</v>
      </c>
      <c r="D23" s="45" t="n">
        <f aca="false">+roundtrip_boiloff_calc</f>
        <v>0.06875</v>
      </c>
      <c r="E23" s="45" t="n">
        <f aca="false">+roundtrip_boiloff_calc</f>
        <v>0.06875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9"/>
    </row>
    <row r="24" customFormat="false" ht="19.5" hidden="false" customHeight="true" outlineLevel="0" collapsed="false">
      <c r="A24" s="1"/>
      <c r="B24" s="5"/>
      <c r="C24" s="21" t="s">
        <v>31</v>
      </c>
      <c r="D24" s="46" t="n">
        <f aca="false">-D23*D22</f>
        <v>-140324.25</v>
      </c>
      <c r="E24" s="46" t="n">
        <f aca="false">-E23*E22</f>
        <v>-1067779.83984375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9"/>
    </row>
    <row r="25" customFormat="false" ht="19.5" hidden="false" customHeight="true" outlineLevel="0" collapsed="false">
      <c r="A25" s="1"/>
      <c r="B25" s="5"/>
      <c r="C25" s="47" t="s">
        <v>32</v>
      </c>
      <c r="D25" s="48" t="n">
        <f aca="false">+D24+D22</f>
        <v>1900755.75</v>
      </c>
      <c r="E25" s="48" t="n">
        <f aca="false">+E24+E22</f>
        <v>14463563.2851563</v>
      </c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9"/>
    </row>
    <row r="26" customFormat="false" ht="12.75" hidden="false" customHeight="false" outlineLevel="0" collapsed="false">
      <c r="A26" s="1"/>
      <c r="B26" s="5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9"/>
    </row>
    <row r="27" customFormat="false" ht="12.75" hidden="false" customHeight="false" outlineLevel="0" collapsed="false">
      <c r="A27" s="1"/>
      <c r="B27" s="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9"/>
    </row>
    <row r="28" customFormat="false" ht="12.75" hidden="false" customHeight="false" outlineLevel="0" collapsed="false">
      <c r="A28" s="1"/>
      <c r="B28" s="5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9"/>
    </row>
    <row r="29" customFormat="false" ht="12.75" hidden="false" customHeight="false" outlineLevel="0" collapsed="false">
      <c r="A29" s="1"/>
      <c r="B29" s="5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9"/>
    </row>
    <row r="30" customFormat="false" ht="12.75" hidden="false" customHeight="false" outlineLevel="0" collapsed="false">
      <c r="A30" s="1"/>
      <c r="B30" s="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9"/>
    </row>
    <row r="31" customFormat="false" ht="12.75" hidden="false" customHeight="false" outlineLevel="0" collapsed="false">
      <c r="A31" s="1"/>
      <c r="B31" s="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9"/>
    </row>
    <row r="32" customFormat="false" ht="12.75" hidden="false" customHeight="false" outlineLevel="0" collapsed="false">
      <c r="A32" s="1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9"/>
    </row>
    <row r="33" customFormat="false" ht="12.75" hidden="false" customHeight="false" outlineLevel="0" collapsed="false">
      <c r="A33" s="1"/>
      <c r="B33" s="5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9"/>
    </row>
    <row r="34" customFormat="false" ht="12.75" hidden="false" customHeight="false" outlineLevel="0" collapsed="false">
      <c r="A34" s="1"/>
      <c r="B34" s="5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9"/>
    </row>
    <row r="35" customFormat="false" ht="12.75" hidden="false" customHeight="false" outlineLevel="0" collapsed="false">
      <c r="A35" s="1"/>
      <c r="B35" s="5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9"/>
    </row>
    <row r="36" customFormat="false" ht="12.75" hidden="false" customHeight="false" outlineLevel="0" collapsed="false">
      <c r="A36" s="1"/>
      <c r="B36" s="5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9"/>
    </row>
    <row r="37" customFormat="false" ht="12.75" hidden="false" customHeight="false" outlineLevel="0" collapsed="false">
      <c r="A37" s="1"/>
      <c r="B37" s="5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9"/>
    </row>
    <row r="38" customFormat="false" ht="12.75" hidden="false" customHeight="false" outlineLevel="0" collapsed="false">
      <c r="A38" s="1"/>
      <c r="B38" s="5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9"/>
    </row>
    <row r="39" customFormat="false" ht="12.75" hidden="false" customHeight="false" outlineLevel="0" collapsed="false">
      <c r="A39" s="1"/>
      <c r="B39" s="5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9"/>
    </row>
    <row r="40" customFormat="false" ht="12.75" hidden="false" customHeight="false" outlineLevel="0" collapsed="false">
      <c r="A40" s="1"/>
      <c r="B40" s="5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9"/>
    </row>
    <row r="41" customFormat="false" ht="12.75" hidden="false" customHeight="false" outlineLevel="0" collapsed="false">
      <c r="A41" s="1"/>
      <c r="B41" s="5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9"/>
    </row>
    <row r="42" customFormat="false" ht="12.75" hidden="false" customHeight="false" outlineLevel="0" collapsed="false">
      <c r="A42" s="1"/>
      <c r="B42" s="5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9"/>
    </row>
    <row r="43" customFormat="false" ht="12.75" hidden="false" customHeight="false" outlineLevel="0" collapsed="false">
      <c r="A43" s="1"/>
      <c r="B43" s="5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9"/>
    </row>
    <row r="44" customFormat="false" ht="12.75" hidden="false" customHeight="false" outlineLevel="0" collapsed="false">
      <c r="A44" s="1"/>
      <c r="B44" s="5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9"/>
    </row>
    <row r="45" customFormat="false" ht="12.75" hidden="false" customHeight="false" outlineLevel="0" collapsed="false">
      <c r="A45" s="1"/>
      <c r="B45" s="5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9"/>
    </row>
    <row r="46" customFormat="false" ht="12.75" hidden="false" customHeight="false" outlineLevel="0" collapsed="false">
      <c r="A46" s="1"/>
      <c r="B46" s="5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9"/>
    </row>
    <row r="47" customFormat="false" ht="12.75" hidden="false" customHeight="false" outlineLevel="0" collapsed="false">
      <c r="A47" s="1"/>
      <c r="B47" s="5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9"/>
    </row>
    <row r="48" customFormat="false" ht="12.75" hidden="false" customHeight="false" outlineLevel="0" collapsed="false">
      <c r="A48" s="1"/>
      <c r="B48" s="5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9"/>
    </row>
    <row r="49" customFormat="false" ht="12.75" hidden="false" customHeight="false" outlineLevel="0" collapsed="false">
      <c r="A49" s="1"/>
      <c r="B49" s="5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9"/>
    </row>
    <row r="50" customFormat="false" ht="12.75" hidden="false" customHeight="false" outlineLevel="0" collapsed="false">
      <c r="A50" s="1"/>
      <c r="B50" s="5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9"/>
    </row>
    <row r="51" customFormat="false" ht="12.75" hidden="false" customHeight="false" outlineLevel="0" collapsed="false">
      <c r="A51" s="1"/>
      <c r="B51" s="5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9"/>
    </row>
    <row r="52" customFormat="false" ht="13.5" hidden="false" customHeight="false" outlineLevel="0" collapsed="false">
      <c r="A52" s="1"/>
      <c r="B52" s="5"/>
      <c r="C52" s="7"/>
      <c r="D52" s="7"/>
      <c r="E52" s="7"/>
      <c r="F52" s="7"/>
      <c r="G52" s="49"/>
      <c r="H52" s="49"/>
      <c r="I52" s="49"/>
      <c r="J52" s="49"/>
      <c r="K52" s="49"/>
      <c r="L52" s="7"/>
      <c r="M52" s="7"/>
      <c r="N52" s="7"/>
      <c r="O52" s="7"/>
      <c r="P52" s="7"/>
      <c r="Q52" s="7"/>
      <c r="R52" s="7"/>
      <c r="S52" s="7"/>
      <c r="T52" s="7"/>
      <c r="U52" s="9"/>
    </row>
    <row r="53" customFormat="false" ht="13.5" hidden="false" customHeight="false" outlineLevel="0" collapsed="false">
      <c r="A53" s="1"/>
      <c r="B53" s="50"/>
      <c r="C53" s="49"/>
      <c r="D53" s="49"/>
      <c r="E53" s="49"/>
      <c r="F53" s="7"/>
      <c r="L53" s="49"/>
      <c r="M53" s="49"/>
      <c r="N53" s="49"/>
      <c r="O53" s="49"/>
      <c r="P53" s="49"/>
      <c r="Q53" s="49"/>
      <c r="R53" s="49"/>
      <c r="S53" s="49"/>
      <c r="T53" s="49"/>
      <c r="U53" s="51"/>
    </row>
  </sheetData>
  <mergeCells count="1">
    <mergeCell ref="C16:D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26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14"/>
    <col collapsed="false" customWidth="true" hidden="false" outlineLevel="0" max="2" min="2" style="0" width="14.56"/>
    <col collapsed="false" customWidth="true" hidden="false" outlineLevel="0" max="3" min="3" style="0" width="15.13"/>
    <col collapsed="false" customWidth="true" hidden="false" outlineLevel="0" max="4" min="4" style="0" width="12.42"/>
    <col collapsed="false" customWidth="true" hidden="false" outlineLevel="0" max="5" min="5" style="0" width="12.14"/>
  </cols>
  <sheetData>
    <row r="2" customFormat="false" ht="18" hidden="false" customHeight="false" outlineLevel="0" collapsed="false">
      <c r="A2" s="52" t="s">
        <v>33</v>
      </c>
      <c r="B2" s="52"/>
      <c r="C2" s="52"/>
      <c r="D2" s="52"/>
      <c r="E2" s="52"/>
      <c r="F2" s="52"/>
    </row>
    <row r="3" customFormat="false" ht="12.75" hidden="false" customHeight="false" outlineLevel="0" collapsed="false">
      <c r="A3" s="53" t="s">
        <v>34</v>
      </c>
      <c r="B3" s="54" t="str">
        <f aca="true">OFFSET(B5,vessel_choice_link,0,1,1)</f>
        <v>HG</v>
      </c>
      <c r="C3" s="55" t="str">
        <f aca="false">+IF(vessel_uom_link=1,"mmbtu","m3")</f>
        <v>mmbtu</v>
      </c>
      <c r="D3" s="55"/>
      <c r="E3" s="56"/>
      <c r="F3" s="57"/>
    </row>
    <row r="4" customFormat="false" ht="12.75" hidden="false" customHeight="false" outlineLevel="0" collapsed="false">
      <c r="A4" s="58" t="s">
        <v>34</v>
      </c>
      <c r="B4" s="59" t="n">
        <v>1</v>
      </c>
      <c r="C4" s="60" t="n">
        <f aca="false">+HLOOKUP(C5,$B5:C8,$B4+1,0)</f>
        <v>87600</v>
      </c>
      <c r="D4" s="60" t="n">
        <f aca="false">+HLOOKUP(D5,$B5:D8,$B4+1,0)</f>
        <v>2041080</v>
      </c>
      <c r="E4" s="61" t="n">
        <f aca="false">+HLOOKUP(E5,$B5:E8,$B4+1,0)</f>
        <v>17.5</v>
      </c>
      <c r="F4" s="61"/>
    </row>
    <row r="5" customFormat="false" ht="18.75" hidden="false" customHeight="false" outlineLevel="0" collapsed="false">
      <c r="B5" s="62" t="s">
        <v>35</v>
      </c>
      <c r="C5" s="63" t="s">
        <v>36</v>
      </c>
      <c r="D5" s="63" t="s">
        <v>37</v>
      </c>
      <c r="E5" s="64" t="s">
        <v>38</v>
      </c>
      <c r="F5" s="64" t="s">
        <v>39</v>
      </c>
    </row>
    <row r="6" customFormat="false" ht="12.75" hidden="false" customHeight="false" outlineLevel="0" collapsed="false">
      <c r="B6" s="65" t="s">
        <v>40</v>
      </c>
      <c r="C6" s="66" t="n">
        <v>87600</v>
      </c>
      <c r="D6" s="66" t="n">
        <f aca="false">+C6*23.3</f>
        <v>2041080</v>
      </c>
      <c r="E6" s="67" t="n">
        <v>17.5</v>
      </c>
      <c r="F6" s="68" t="n">
        <v>1</v>
      </c>
    </row>
    <row r="7" customFormat="false" ht="12.75" hidden="false" customHeight="false" outlineLevel="0" collapsed="false">
      <c r="B7" s="69" t="s">
        <v>41</v>
      </c>
      <c r="C7" s="70" t="n">
        <v>138000</v>
      </c>
      <c r="D7" s="70" t="n">
        <f aca="false">+C7*23.3</f>
        <v>3215400</v>
      </c>
      <c r="E7" s="71" t="n">
        <v>18.4</v>
      </c>
      <c r="F7" s="72"/>
    </row>
    <row r="8" customFormat="false" ht="12.75" hidden="false" customHeight="false" outlineLevel="0" collapsed="false">
      <c r="B8" s="73" t="s">
        <v>42</v>
      </c>
      <c r="C8" s="74" t="n">
        <f aca="false">+C7</f>
        <v>138000</v>
      </c>
      <c r="D8" s="74" t="n">
        <f aca="false">+C8*23.3</f>
        <v>3215400</v>
      </c>
      <c r="E8" s="75" t="n">
        <v>18.4</v>
      </c>
      <c r="F8" s="76"/>
    </row>
    <row r="9" customFormat="false" ht="12.75" hidden="false" customHeight="false" outlineLevel="0" collapsed="false">
      <c r="F9" s="77"/>
    </row>
    <row r="10" customFormat="false" ht="12.75" hidden="false" customHeight="false" outlineLevel="0" collapsed="false">
      <c r="F10" s="77"/>
    </row>
    <row r="12" customFormat="false" ht="18" hidden="false" customHeight="false" outlineLevel="0" collapsed="false">
      <c r="A12" s="52" t="s">
        <v>43</v>
      </c>
      <c r="B12" s="52"/>
      <c r="C12" s="52"/>
      <c r="D12" s="52"/>
    </row>
    <row r="13" customFormat="false" ht="12.75" hidden="false" customHeight="false" outlineLevel="0" collapsed="false">
      <c r="A13" s="53" t="s">
        <v>34</v>
      </c>
      <c r="B13" s="78" t="str">
        <f aca="true">OFFSET(B15,source_choice,0,1,1)</f>
        <v>QATAR</v>
      </c>
      <c r="C13" s="78" t="str">
        <f aca="true">OFFSET(C15,destination_choice,0,1,1)</f>
        <v>ELBA</v>
      </c>
      <c r="D13" s="78" t="str">
        <f aca="false">+IF(route_choice=1,"Suez","")</f>
        <v>Suez</v>
      </c>
      <c r="E13" s="79"/>
    </row>
    <row r="14" customFormat="false" ht="12.75" hidden="false" customHeight="false" outlineLevel="0" collapsed="false">
      <c r="A14" s="80" t="s">
        <v>34</v>
      </c>
      <c r="B14" s="81" t="n">
        <v>2</v>
      </c>
      <c r="C14" s="81" t="n">
        <v>1</v>
      </c>
      <c r="D14" s="81"/>
      <c r="E14" s="79"/>
    </row>
    <row r="15" customFormat="false" ht="12.75" hidden="false" customHeight="false" outlineLevel="0" collapsed="false">
      <c r="B15" s="82" t="s">
        <v>44</v>
      </c>
      <c r="C15" s="82" t="s">
        <v>45</v>
      </c>
      <c r="D15" s="82" t="s">
        <v>46</v>
      </c>
      <c r="E15" s="79"/>
    </row>
    <row r="16" customFormat="false" ht="12.75" hidden="false" customHeight="false" outlineLevel="0" collapsed="false">
      <c r="B16" s="83" t="s">
        <v>47</v>
      </c>
      <c r="C16" s="84" t="s">
        <v>48</v>
      </c>
      <c r="D16" s="85" t="n">
        <v>1</v>
      </c>
      <c r="E16" s="79"/>
    </row>
    <row r="17" customFormat="false" ht="12.75" hidden="false" customHeight="false" outlineLevel="0" collapsed="false">
      <c r="B17" s="83" t="s">
        <v>49</v>
      </c>
      <c r="C17" s="83" t="s">
        <v>50</v>
      </c>
      <c r="D17" s="86"/>
      <c r="E17" s="79"/>
    </row>
    <row r="18" customFormat="false" ht="12.75" hidden="false" customHeight="false" outlineLevel="0" collapsed="false">
      <c r="B18" s="83" t="s">
        <v>51</v>
      </c>
      <c r="C18" s="83" t="s">
        <v>52</v>
      </c>
      <c r="D18" s="86"/>
      <c r="E18" s="79"/>
    </row>
    <row r="19" customFormat="false" ht="12.75" hidden="false" customHeight="false" outlineLevel="0" collapsed="false">
      <c r="B19" s="87" t="s">
        <v>53</v>
      </c>
      <c r="C19" s="87" t="s">
        <v>54</v>
      </c>
      <c r="D19" s="88"/>
      <c r="E19" s="79"/>
    </row>
    <row r="20" customFormat="false" ht="12.75" hidden="false" customHeight="false" outlineLevel="0" collapsed="false">
      <c r="B20" s="87" t="s">
        <v>55</v>
      </c>
      <c r="C20" s="87" t="s">
        <v>56</v>
      </c>
      <c r="D20" s="88"/>
      <c r="E20" s="79"/>
    </row>
    <row r="21" customFormat="false" ht="12.75" hidden="false" customHeight="false" outlineLevel="0" collapsed="false">
      <c r="B21" s="87" t="s">
        <v>57</v>
      </c>
      <c r="C21" s="87" t="s">
        <v>58</v>
      </c>
      <c r="D21" s="88"/>
      <c r="E21" s="79"/>
    </row>
    <row r="22" customFormat="false" ht="12.75" hidden="false" customHeight="false" outlineLevel="0" collapsed="false">
      <c r="B22" s="87" t="s">
        <v>59</v>
      </c>
      <c r="C22" s="87" t="s">
        <v>60</v>
      </c>
      <c r="D22" s="88"/>
      <c r="E22" s="79"/>
    </row>
    <row r="23" customFormat="false" ht="12.75" hidden="false" customHeight="false" outlineLevel="0" collapsed="false">
      <c r="B23" s="87"/>
      <c r="C23" s="87"/>
      <c r="D23" s="88"/>
    </row>
    <row r="24" customFormat="false" ht="12.75" hidden="false" customHeight="false" outlineLevel="0" collapsed="false">
      <c r="B24" s="89"/>
      <c r="C24" s="89"/>
      <c r="D24" s="88"/>
    </row>
    <row r="25" customFormat="false" ht="12.75" hidden="false" customHeight="false" outlineLevel="0" collapsed="false">
      <c r="B25" s="90"/>
      <c r="C25" s="90"/>
      <c r="D25" s="90"/>
    </row>
    <row r="26" customFormat="false" ht="12.75" hidden="false" customHeight="false" outlineLevel="0" collapsed="false">
      <c r="B26" s="90"/>
      <c r="C26" s="90"/>
      <c r="D26" s="90"/>
    </row>
  </sheetData>
  <mergeCells count="3">
    <mergeCell ref="A2:F2"/>
    <mergeCell ref="C3:D3"/>
    <mergeCell ref="A12:D1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W43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H20" activeCellId="0" sqref="H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56"/>
    <col collapsed="false" customWidth="true" hidden="false" outlineLevel="0" max="3" min="3" style="0" width="21.13"/>
    <col collapsed="false" customWidth="true" hidden="false" outlineLevel="0" max="6" min="5" style="0" width="10.13"/>
    <col collapsed="false" customWidth="true" hidden="false" outlineLevel="0" max="10" min="8" style="0" width="14.99"/>
    <col collapsed="false" customWidth="true" hidden="false" outlineLevel="0" max="12" min="11" style="0" width="21.13"/>
    <col collapsed="false" customWidth="true" hidden="false" outlineLevel="0" max="13" min="13" style="0" width="13.7"/>
    <col collapsed="false" customWidth="true" hidden="false" outlineLevel="0" max="14" min="14" style="0" width="11.7"/>
    <col collapsed="false" customWidth="true" hidden="false" outlineLevel="0" max="15" min="15" style="0" width="15.13"/>
  </cols>
  <sheetData>
    <row r="2" customFormat="false" ht="12.75" hidden="false" customHeight="false" outlineLevel="0" collapsed="false">
      <c r="H2" s="91" t="s">
        <v>61</v>
      </c>
      <c r="I2" s="92"/>
      <c r="J2" s="92"/>
      <c r="K2" s="93" t="e">
        <f aca="false">+O7/G7</f>
        <v>#DIV/0!</v>
      </c>
    </row>
    <row r="5" customFormat="false" ht="13.5" hidden="false" customHeight="true" outlineLevel="0" collapsed="false"/>
    <row r="6" customFormat="false" ht="12.75" hidden="false" customHeight="false" outlineLevel="0" collapsed="false">
      <c r="E6" s="0" t="s">
        <v>62</v>
      </c>
      <c r="H6" s="94" t="e">
        <f aca="false">+H7/$G7</f>
        <v>#DIV/0!</v>
      </c>
      <c r="I6" s="95" t="e">
        <f aca="false">+I7/$G7</f>
        <v>#DIV/0!</v>
      </c>
      <c r="J6" s="95" t="e">
        <f aca="false">+J7/$G7</f>
        <v>#DIV/0!</v>
      </c>
      <c r="K6" s="95" t="e">
        <f aca="false">+K7/$G7</f>
        <v>#DIV/0!</v>
      </c>
      <c r="L6" s="95" t="e">
        <f aca="false">+L7/$G7</f>
        <v>#DIV/0!</v>
      </c>
      <c r="M6" s="95" t="e">
        <f aca="false">+M7/$G7</f>
        <v>#DIV/0!</v>
      </c>
      <c r="N6" s="95" t="e">
        <f aca="false">+N7/$G7</f>
        <v>#DIV/0!</v>
      </c>
      <c r="O6" s="96" t="e">
        <f aca="false">+O7/$G7</f>
        <v>#DIV/0!</v>
      </c>
    </row>
    <row r="7" customFormat="false" ht="22.5" hidden="false" customHeight="true" outlineLevel="0" collapsed="false">
      <c r="E7" s="97"/>
      <c r="F7" s="98"/>
      <c r="G7" s="99" t="n">
        <f aca="false">SUM(G9:G314)</f>
        <v>0</v>
      </c>
      <c r="H7" s="100" t="n">
        <f aca="false">SUM(H9:H314)</f>
        <v>0</v>
      </c>
      <c r="I7" s="100" t="n">
        <f aca="false">SUM(I9:I314)</f>
        <v>0</v>
      </c>
      <c r="J7" s="100" t="n">
        <f aca="false">SUM(J9:J314)</f>
        <v>0</v>
      </c>
      <c r="K7" s="100" t="n">
        <f aca="false">SUM(K9:K314)</f>
        <v>0</v>
      </c>
      <c r="L7" s="100" t="n">
        <f aca="false">SUM(L9:L314)</f>
        <v>0</v>
      </c>
      <c r="M7" s="100" t="n">
        <f aca="false">SUM(M9:M314)</f>
        <v>0</v>
      </c>
      <c r="N7" s="100" t="n">
        <f aca="false">SUM(N9:N314)</f>
        <v>0</v>
      </c>
      <c r="O7" s="101" t="n">
        <f aca="false">SUM(O9:O314)</f>
        <v>0</v>
      </c>
      <c r="P7" s="102"/>
      <c r="Q7" s="103"/>
      <c r="R7" s="103"/>
      <c r="S7" s="103"/>
      <c r="T7" s="103"/>
      <c r="U7" s="103"/>
      <c r="V7" s="103"/>
      <c r="W7" s="103"/>
    </row>
    <row r="8" customFormat="false" ht="12.75" hidden="false" customHeight="false" outlineLevel="0" collapsed="false">
      <c r="B8" s="104" t="s">
        <v>63</v>
      </c>
      <c r="C8" s="104"/>
      <c r="E8" s="105" t="s">
        <v>64</v>
      </c>
      <c r="F8" s="105" t="s">
        <v>65</v>
      </c>
      <c r="G8" s="106" t="s">
        <v>66</v>
      </c>
      <c r="H8" s="107" t="s">
        <v>67</v>
      </c>
      <c r="I8" s="107" t="s">
        <v>68</v>
      </c>
      <c r="J8" s="107" t="s">
        <v>11</v>
      </c>
      <c r="K8" s="107" t="s">
        <v>69</v>
      </c>
      <c r="L8" s="107" t="s">
        <v>70</v>
      </c>
      <c r="M8" s="107" t="s">
        <v>71</v>
      </c>
      <c r="N8" s="107" t="s">
        <v>72</v>
      </c>
      <c r="O8" s="108" t="s">
        <v>73</v>
      </c>
      <c r="P8" s="102"/>
      <c r="Q8" s="103"/>
      <c r="R8" s="103"/>
      <c r="S8" s="103"/>
      <c r="T8" s="103"/>
      <c r="U8" s="103"/>
      <c r="V8" s="103"/>
      <c r="W8" s="103"/>
    </row>
    <row r="9" customFormat="false" ht="12.75" hidden="false" customHeight="false" outlineLevel="0" collapsed="false">
      <c r="B9" s="109" t="s">
        <v>74</v>
      </c>
      <c r="C9" s="110" t="n">
        <f aca="true">+TODAY()</f>
        <v>45926</v>
      </c>
      <c r="E9" s="111" t="n">
        <f aca="false">+DATE(YEAR(calcdate),MONTH(calcdate),1)</f>
        <v>45901</v>
      </c>
      <c r="F9" s="112" t="n">
        <f aca="false">+VLOOKUP(E9,[1]!curvecalc,3,0)</f>
        <v>0.168647324808317</v>
      </c>
      <c r="G9" s="113" t="n">
        <f aca="false">+IF(AND(startdate&lt;=E9,enddate&gt;=E9),1,0)</f>
        <v>0</v>
      </c>
      <c r="H9" s="114" t="str">
        <f aca="false">+IF($G9=0,"",(+VLOOKUP($E9,[1]!FIXED_CHARTER_COST,HLOOKUP(vessel_choice,[1]!FIXED_CHARTER_COST,2,0)+1,0)*roundtrip_days)/vessel_mmbtu)</f>
        <v/>
      </c>
      <c r="I9" s="114" t="str">
        <f aca="false">+IF($G9=0,"",(+VLOOKUP($E9,[1]!OM_CHARTER_COST,HLOOKUP(vessel_choice,[1]!OM_CHARTER_COST,2,0)+1,0)*roundtrip_days)/vessel_mmbtu)</f>
        <v/>
      </c>
      <c r="J9" s="114" t="str">
        <f aca="false">IF($G9=0,"",(INDEX([1]!bunker_cost,MATCH(route,[1]!bunker_cost_route,0),MATCH(vessel_choice,[1]!bunker_cost_ship,0))/vessel_mmbtu))</f>
        <v/>
      </c>
      <c r="K9" s="114" t="str">
        <f aca="false">IF($G9=0,"",(+INDEX([1]!PORT_CHARGES,MATCH(source,[1]!PORTS,0),MATCH(vessel,[1]!PORT_CHARGE_SHIPS,0))/vessel_mmbtu))</f>
        <v/>
      </c>
      <c r="L9" s="114" t="str">
        <f aca="false">IF($G9=0,"",(+INDEX([1]!PORT_CHARGES,MATCH(destination,[1]!PORTS,0),MATCH(vessel,[1]!PORT_CHARGE_SHIPS,0))/vessel_mmbtu))</f>
        <v/>
      </c>
      <c r="M9" s="114" t="str">
        <f aca="false">IF($G9=0,"",IF(route_choice=1,INDEX([1]!PORT_CHARGES,MATCH(suez,[1]!PORTS,0),MATCH(vessel,[1]!PORT_CHARGE_SHIPS,0)),0)/vessel_mmbtu)</f>
        <v/>
      </c>
      <c r="N9" s="114" t="str">
        <f aca="false">+IF(G9=0,"",+HLOOKUP(vessel,[1]!other_cost,3,0))</f>
        <v/>
      </c>
      <c r="O9" s="115" t="str">
        <f aca="false">+IF(G9=0,"",SUM(H9:N9))</f>
        <v/>
      </c>
      <c r="P9" s="88"/>
      <c r="Q9" s="90"/>
    </row>
    <row r="10" customFormat="false" ht="12.75" hidden="false" customHeight="false" outlineLevel="0" collapsed="false">
      <c r="B10" s="109" t="s">
        <v>46</v>
      </c>
      <c r="C10" s="116" t="str">
        <f aca="false">+CONCATENATE(LIST!$B$13,LIST!$C$13,LIST!$D$13)</f>
        <v>QATARELBASuez</v>
      </c>
      <c r="E10" s="117" t="n">
        <f aca="false">+DATE(YEAR(E9),MONTH(E9)+1,1)</f>
        <v>45931</v>
      </c>
      <c r="F10" s="118" t="n">
        <f aca="false">+VLOOKUP(E10,[1]!curvecalc,3,0)</f>
        <v>0.167654415624272</v>
      </c>
      <c r="G10" s="119" t="n">
        <f aca="false">+IF(AND(startdate&lt;=E10,enddate&gt;=E10),1,0)</f>
        <v>0</v>
      </c>
      <c r="H10" s="120" t="str">
        <f aca="false">+IF($G10=0,"",(+VLOOKUP($E10,[1]!FIXED_CHARTER_COST,HLOOKUP(vessel_choice,[1]!FIXED_CHARTER_COST,2,0)+1,0)*roundtrip_days)/vessel_mmbtu)</f>
        <v/>
      </c>
      <c r="I10" s="120" t="str">
        <f aca="false">+IF($G10=0,"",(+VLOOKUP($E10,[1]!OM_CHARTER_COST,HLOOKUP(vessel_choice,[1]!OM_CHARTER_COST,2,0)+1,0)*roundtrip_days)/vessel_mmbtu)</f>
        <v/>
      </c>
      <c r="J10" s="120" t="str">
        <f aca="false">IF($G10=0,"",(INDEX([1]!bunker_cost,MATCH(route,[1]!bunker_cost_route,0),MATCH(vessel_choice,[1]!bunker_cost_ship,0))/vessel_mmbtu))</f>
        <v/>
      </c>
      <c r="K10" s="120" t="str">
        <f aca="false">IF($G10=0,"",(+INDEX([1]!PORT_CHARGES,MATCH(source,[1]!PORTS,0),MATCH(vessel,[1]!PORT_CHARGE_SHIPS,0))/vessel_mmbtu))</f>
        <v/>
      </c>
      <c r="L10" s="120" t="str">
        <f aca="false">IF($G10=0,"",(+INDEX([1]!PORT_CHARGES,MATCH(destination,[1]!PORTS,0),MATCH(vessel,[1]!PORT_CHARGE_SHIPS,0))/vessel_mmbtu))</f>
        <v/>
      </c>
      <c r="M10" s="120" t="str">
        <f aca="false">IF($G10=0,"",IF(route_choice=1,INDEX([1]!PORT_CHARGES,MATCH(suez,[1]!PORTS,0),MATCH(vessel,[1]!PORT_CHARGE_SHIPS,0)),0)/vessel_mmbtu)</f>
        <v/>
      </c>
      <c r="N10" s="120" t="str">
        <f aca="false">+IF(G10=0,"",+HLOOKUP(vessel,[1]!other_cost,3,0))</f>
        <v/>
      </c>
      <c r="O10" s="121" t="str">
        <f aca="false">+IF(G10=0,"",SUM(H10:N10))</f>
        <v/>
      </c>
      <c r="P10" s="88"/>
      <c r="Q10" s="90"/>
    </row>
    <row r="11" customFormat="false" ht="12.75" hidden="false" customHeight="false" outlineLevel="0" collapsed="false">
      <c r="B11" s="122" t="s">
        <v>75</v>
      </c>
      <c r="C11" s="123" t="str">
        <f aca="false">+vessel_choice</f>
        <v>HG</v>
      </c>
      <c r="E11" s="117" t="n">
        <f aca="false">+DATE(YEAR(E10),MONTH(E10)+1,1)</f>
        <v>45962</v>
      </c>
      <c r="F11" s="118" t="n">
        <f aca="false">+VLOOKUP(E11,[1]!curvecalc,3,0)</f>
        <v>0.166700289233255</v>
      </c>
      <c r="G11" s="119" t="n">
        <f aca="false">+IF(AND(startdate&lt;=E11,enddate&gt;=E11),1,0)</f>
        <v>0</v>
      </c>
      <c r="H11" s="120" t="str">
        <f aca="false">+IF($G11=0,"",(+VLOOKUP($E11,[1]!FIXED_CHARTER_COST,HLOOKUP(vessel_choice,[1]!FIXED_CHARTER_COST,2,0)+1,0)*roundtrip_days)/vessel_mmbtu)</f>
        <v/>
      </c>
      <c r="I11" s="120" t="str">
        <f aca="false">+IF($G11=0,"",(+VLOOKUP($E11,[1]!OM_CHARTER_COST,HLOOKUP(vessel_choice,[1]!OM_CHARTER_COST,2,0)+1,0)*roundtrip_days)/vessel_mmbtu)</f>
        <v/>
      </c>
      <c r="J11" s="120" t="str">
        <f aca="false">IF($G11=0,"",(INDEX([1]!bunker_cost,MATCH(route,[1]!bunker_cost_route,0),MATCH(vessel_choice,[1]!bunker_cost_ship,0))/vessel_mmbtu))</f>
        <v/>
      </c>
      <c r="K11" s="120" t="str">
        <f aca="false">IF($G11=0,"",(+INDEX([1]!PORT_CHARGES,MATCH(source,[1]!PORTS,0),MATCH(vessel,[1]!PORT_CHARGE_SHIPS,0))/vessel_mmbtu))</f>
        <v/>
      </c>
      <c r="L11" s="120" t="str">
        <f aca="false">IF($G11=0,"",(+INDEX([1]!PORT_CHARGES,MATCH(destination,[1]!PORTS,0),MATCH(vessel,[1]!PORT_CHARGE_SHIPS,0))/vessel_mmbtu))</f>
        <v/>
      </c>
      <c r="M11" s="120" t="str">
        <f aca="false">IF($G11=0,"",IF(route_choice=1,INDEX([1]!PORT_CHARGES,MATCH(suez,[1]!PORTS,0),MATCH(vessel,[1]!PORT_CHARGE_SHIPS,0)),0)/vessel_mmbtu)</f>
        <v/>
      </c>
      <c r="N11" s="120" t="str">
        <f aca="false">+IF(G11=0,"",+HLOOKUP(vessel,[1]!other_cost,3,0))</f>
        <v/>
      </c>
      <c r="O11" s="121" t="str">
        <f aca="false">+IF(G11=0,"",SUM(H11:N11))</f>
        <v/>
      </c>
      <c r="P11" s="88"/>
      <c r="Q11" s="90"/>
    </row>
    <row r="12" customFormat="false" ht="12.75" hidden="false" customHeight="false" outlineLevel="0" collapsed="false">
      <c r="B12" s="124" t="s">
        <v>76</v>
      </c>
      <c r="C12" s="125"/>
      <c r="E12" s="117" t="n">
        <f aca="false">+DATE(YEAR(E11),MONTH(E11)+1,1)</f>
        <v>45992</v>
      </c>
      <c r="F12" s="118" t="n">
        <f aca="false">+VLOOKUP(E12,[1]!curvecalc,3,0)</f>
        <v>0.165719063092722</v>
      </c>
      <c r="G12" s="119" t="n">
        <f aca="false">+IF(AND(startdate&lt;=E12,enddate&gt;=E12),1,0)</f>
        <v>0</v>
      </c>
      <c r="H12" s="120" t="str">
        <f aca="false">+IF($G12=0,"",(+VLOOKUP($E12,[1]!FIXED_CHARTER_COST,HLOOKUP(vessel_choice,[1]!FIXED_CHARTER_COST,2,0)+1,0)*roundtrip_days)/vessel_mmbtu)</f>
        <v/>
      </c>
      <c r="I12" s="120" t="str">
        <f aca="false">+IF($G12=0,"",(+VLOOKUP($E12,[1]!OM_CHARTER_COST,HLOOKUP(vessel_choice,[1]!OM_CHARTER_COST,2,0)+1,0)*roundtrip_days)/vessel_mmbtu)</f>
        <v/>
      </c>
      <c r="J12" s="120" t="str">
        <f aca="false">IF($G12=0,"",(INDEX([1]!bunker_cost,MATCH(route,[1]!bunker_cost_route,0),MATCH(vessel_choice,[1]!bunker_cost_ship,0))/vessel_mmbtu))</f>
        <v/>
      </c>
      <c r="K12" s="120" t="str">
        <f aca="false">IF($G12=0,"",(+INDEX([1]!PORT_CHARGES,MATCH(source,[1]!PORTS,0),MATCH(vessel,[1]!PORT_CHARGE_SHIPS,0))/vessel_mmbtu))</f>
        <v/>
      </c>
      <c r="L12" s="120" t="str">
        <f aca="false">IF($G12=0,"",(+INDEX([1]!PORT_CHARGES,MATCH(destination,[1]!PORTS,0),MATCH(vessel,[1]!PORT_CHARGE_SHIPS,0))/vessel_mmbtu))</f>
        <v/>
      </c>
      <c r="M12" s="120" t="str">
        <f aca="false">IF($G12=0,"",IF(route_choice=1,INDEX([1]!PORT_CHARGES,MATCH(suez,[1]!PORTS,0),MATCH(vessel,[1]!PORT_CHARGE_SHIPS,0)),0)/vessel_mmbtu)</f>
        <v/>
      </c>
      <c r="N12" s="120" t="str">
        <f aca="false">+IF(G12=0,"",+HLOOKUP(vessel,[1]!other_cost,3,0))</f>
        <v/>
      </c>
      <c r="O12" s="121" t="str">
        <f aca="false">+IF(G12=0,"",SUM(H12:N12))</f>
        <v/>
      </c>
      <c r="P12" s="88"/>
      <c r="Q12" s="90"/>
    </row>
    <row r="13" customFormat="false" ht="12.75" hidden="false" customHeight="false" outlineLevel="0" collapsed="false">
      <c r="B13" s="126" t="s">
        <v>77</v>
      </c>
      <c r="C13" s="127" t="n">
        <f aca="false">+VLOOKUP(C10,[1]!MILES,5,0)*2</f>
        <v>17332</v>
      </c>
      <c r="E13" s="117" t="n">
        <f aca="false">+DATE(YEAR(E12),MONTH(E12)+1,1)</f>
        <v>46023</v>
      </c>
      <c r="F13" s="118" t="str">
        <f aca="false">+VLOOKUP(E13,[1]!curvecalc,3,0)</f>
        <v/>
      </c>
      <c r="G13" s="119" t="n">
        <f aca="false">+IF(AND(startdate&lt;=E13,enddate&gt;=E13),1,0)</f>
        <v>0</v>
      </c>
      <c r="H13" s="120" t="str">
        <f aca="false">+IF($G13=0,"",(+VLOOKUP($E13,[1]!FIXED_CHARTER_COST,HLOOKUP(vessel_choice,[1]!FIXED_CHARTER_COST,2,0)+1,0)*roundtrip_days)/vessel_mmbtu)</f>
        <v/>
      </c>
      <c r="I13" s="120" t="str">
        <f aca="false">+IF($G13=0,"",(+VLOOKUP($E13,[1]!OM_CHARTER_COST,HLOOKUP(vessel_choice,[1]!OM_CHARTER_COST,2,0)+1,0)*roundtrip_days)/vessel_mmbtu)</f>
        <v/>
      </c>
      <c r="J13" s="120" t="str">
        <f aca="false">IF($G13=0,"",(INDEX([1]!bunker_cost,MATCH(route,[1]!bunker_cost_route,0),MATCH(vessel_choice,[1]!bunker_cost_ship,0))/vessel_mmbtu))</f>
        <v/>
      </c>
      <c r="K13" s="120" t="str">
        <f aca="false">IF($G13=0,"",(+INDEX([1]!PORT_CHARGES,MATCH(source,[1]!PORTS,0),MATCH(vessel,[1]!PORT_CHARGE_SHIPS,0))/vessel_mmbtu))</f>
        <v/>
      </c>
      <c r="L13" s="120" t="str">
        <f aca="false">IF($G13=0,"",(+INDEX([1]!PORT_CHARGES,MATCH(destination,[1]!PORTS,0),MATCH(vessel,[1]!PORT_CHARGE_SHIPS,0))/vessel_mmbtu))</f>
        <v/>
      </c>
      <c r="M13" s="120" t="str">
        <f aca="false">IF($G13=0,"",IF(route_choice=1,INDEX([1]!PORT_CHARGES,MATCH(suez,[1]!PORTS,0),MATCH(vessel,[1]!PORT_CHARGE_SHIPS,0)),0)/vessel_mmbtu)</f>
        <v/>
      </c>
      <c r="N13" s="120" t="str">
        <f aca="false">+IF(G13=0,"",+HLOOKUP(vessel,[1]!other_cost,3,0))</f>
        <v/>
      </c>
      <c r="O13" s="121" t="str">
        <f aca="false">+IF(G13=0,"",SUM(H13:N13))</f>
        <v/>
      </c>
      <c r="P13" s="88"/>
      <c r="Q13" s="90"/>
    </row>
    <row r="14" customFormat="false" ht="12.75" hidden="false" customHeight="false" outlineLevel="0" collapsed="false">
      <c r="B14" s="126" t="s">
        <v>78</v>
      </c>
      <c r="C14" s="128" t="n">
        <f aca="false">+INDEX([1]!ROUNDTRIP_DAYS,MATCH($C$10,[1]!ROUNDTRIP_ROUTES,0),MATCH($C$11,[1]!ROUNDTRIP_SHIPS,0))</f>
        <v>48</v>
      </c>
      <c r="E14" s="117" t="n">
        <f aca="false">+DATE(YEAR(E13),MONTH(E13)+1,1)</f>
        <v>46054</v>
      </c>
      <c r="F14" s="118" t="e">
        <f aca="false">+VLOOKUP(E14,[1]!curvecalc,3,0)</f>
        <v>#N/A</v>
      </c>
      <c r="G14" s="119" t="n">
        <f aca="false">+IF(AND(startdate&lt;=E14,enddate&gt;=E14),1,0)</f>
        <v>0</v>
      </c>
      <c r="H14" s="120" t="str">
        <f aca="false">+IF($G14=0,"",(+VLOOKUP($E14,[1]!FIXED_CHARTER_COST,HLOOKUP(vessel_choice,[1]!FIXED_CHARTER_COST,2,0)+1,0)*roundtrip_days)/vessel_mmbtu)</f>
        <v/>
      </c>
      <c r="I14" s="120" t="str">
        <f aca="false">+IF($G14=0,"",(+VLOOKUP($E14,[1]!OM_CHARTER_COST,HLOOKUP(vessel_choice,[1]!OM_CHARTER_COST,2,0)+1,0)*roundtrip_days)/vessel_mmbtu)</f>
        <v/>
      </c>
      <c r="J14" s="120" t="str">
        <f aca="false">IF($G14=0,"",(INDEX([1]!bunker_cost,MATCH(route,[1]!bunker_cost_route,0),MATCH(vessel_choice,[1]!bunker_cost_ship,0))/vessel_mmbtu))</f>
        <v/>
      </c>
      <c r="K14" s="120" t="str">
        <f aca="false">IF($G14=0,"",(+INDEX([1]!PORT_CHARGES,MATCH(source,[1]!PORTS,0),MATCH(vessel,[1]!PORT_CHARGE_SHIPS,0))/vessel_mmbtu))</f>
        <v/>
      </c>
      <c r="L14" s="120" t="str">
        <f aca="false">IF($G14=0,"",(+INDEX([1]!PORT_CHARGES,MATCH(destination,[1]!PORTS,0),MATCH(vessel,[1]!PORT_CHARGE_SHIPS,0))/vessel_mmbtu))</f>
        <v/>
      </c>
      <c r="M14" s="120" t="str">
        <f aca="false">IF($G14=0,"",IF(route_choice=1,INDEX([1]!PORT_CHARGES,MATCH(suez,[1]!PORTS,0),MATCH(vessel,[1]!PORT_CHARGE_SHIPS,0)),0)/vessel_mmbtu)</f>
        <v/>
      </c>
      <c r="N14" s="120" t="str">
        <f aca="false">+IF(G14=0,"",+HLOOKUP(vessel,[1]!other_cost,3,0))</f>
        <v/>
      </c>
      <c r="O14" s="121" t="str">
        <f aca="false">+IF(G14=0,"",SUM(H14:N14))</f>
        <v/>
      </c>
      <c r="P14" s="88"/>
      <c r="Q14" s="90"/>
    </row>
    <row r="15" customFormat="false" ht="12.75" hidden="false" customHeight="false" outlineLevel="0" collapsed="false">
      <c r="B15" s="126" t="s">
        <v>79</v>
      </c>
      <c r="C15" s="129" t="n">
        <f aca="false">+INDEX([1]!LADEN_VOYAGE_DAYS,MATCH($C$10,[1]!LADEN_VOYAGE_ROUTES,0),MATCH($C$11,[1]!LADEN_VOYAGE_SHIPS,0))*HLOOKUP($C$11,[1]!SHIPS,7,0)</f>
        <v>0.06875</v>
      </c>
      <c r="E15" s="117" t="n">
        <f aca="false">+DATE(YEAR(E14),MONTH(E14)+1,1)</f>
        <v>46082</v>
      </c>
      <c r="F15" s="118" t="e">
        <f aca="false">+VLOOKUP(E15,[1]!curvecalc,3,0)</f>
        <v>#N/A</v>
      </c>
      <c r="G15" s="119" t="n">
        <f aca="false">+IF(AND(startdate&lt;=E15,enddate&gt;=E15),1,0)</f>
        <v>0</v>
      </c>
      <c r="H15" s="120" t="str">
        <f aca="false">+IF($G15=0,"",(+VLOOKUP($E15,[1]!FIXED_CHARTER_COST,HLOOKUP(vessel_choice,[1]!FIXED_CHARTER_COST,2,0)+1,0)*roundtrip_days)/vessel_mmbtu)</f>
        <v/>
      </c>
      <c r="I15" s="120" t="str">
        <f aca="false">+IF($G15=0,"",(+VLOOKUP($E15,[1]!OM_CHARTER_COST,HLOOKUP(vessel_choice,[1]!OM_CHARTER_COST,2,0)+1,0)*roundtrip_days)/vessel_mmbtu)</f>
        <v/>
      </c>
      <c r="J15" s="120" t="str">
        <f aca="false">IF($G15=0,"",(INDEX([1]!bunker_cost,MATCH(route,[1]!bunker_cost_route,0),MATCH(vessel_choice,[1]!bunker_cost_ship,0))/vessel_mmbtu))</f>
        <v/>
      </c>
      <c r="K15" s="120" t="str">
        <f aca="false">IF($G15=0,"",(+INDEX([1]!PORT_CHARGES,MATCH(source,[1]!PORTS,0),MATCH(vessel,[1]!PORT_CHARGE_SHIPS,0))/vessel_mmbtu))</f>
        <v/>
      </c>
      <c r="L15" s="120" t="str">
        <f aca="false">IF($G15=0,"",(+INDEX([1]!PORT_CHARGES,MATCH(destination,[1]!PORTS,0),MATCH(vessel,[1]!PORT_CHARGE_SHIPS,0))/vessel_mmbtu))</f>
        <v/>
      </c>
      <c r="M15" s="120" t="str">
        <f aca="false">IF($G15=0,"",IF(route_choice=1,INDEX([1]!PORT_CHARGES,MATCH(suez,[1]!PORTS,0),MATCH(vessel,[1]!PORT_CHARGE_SHIPS,0)),0)/vessel_mmbtu)</f>
        <v/>
      </c>
      <c r="N15" s="120" t="str">
        <f aca="false">+IF(G15=0,"",+HLOOKUP(vessel,[1]!other_cost,3,0))</f>
        <v/>
      </c>
      <c r="O15" s="121" t="str">
        <f aca="false">+IF(G15=0,"",SUM(H15:N15))</f>
        <v/>
      </c>
      <c r="P15" s="88"/>
      <c r="Q15" s="90"/>
    </row>
    <row r="16" customFormat="false" ht="12.75" hidden="false" customHeight="false" outlineLevel="0" collapsed="false">
      <c r="E16" s="117" t="n">
        <f aca="false">+DATE(YEAR(E15),MONTH(E15)+1,1)</f>
        <v>46113</v>
      </c>
      <c r="F16" s="118" t="e">
        <f aca="false">+VLOOKUP(E16,[1]!curvecalc,3,0)</f>
        <v>#N/A</v>
      </c>
      <c r="G16" s="119" t="n">
        <f aca="false">+IF(AND(startdate&lt;=E16,enddate&gt;=E16),1,0)</f>
        <v>0</v>
      </c>
      <c r="H16" s="120" t="str">
        <f aca="false">+IF($G16=0,"",(+VLOOKUP($E16,[1]!FIXED_CHARTER_COST,HLOOKUP(vessel_choice,[1]!FIXED_CHARTER_COST,2,0)+1,0)*roundtrip_days)/vessel_mmbtu)</f>
        <v/>
      </c>
      <c r="I16" s="120" t="str">
        <f aca="false">+IF($G16=0,"",(+VLOOKUP($E16,[1]!OM_CHARTER_COST,HLOOKUP(vessel_choice,[1]!OM_CHARTER_COST,2,0)+1,0)*roundtrip_days)/vessel_mmbtu)</f>
        <v/>
      </c>
      <c r="J16" s="120" t="str">
        <f aca="false">IF($G16=0,"",(INDEX([1]!bunker_cost,MATCH(route,[1]!bunker_cost_route,0),MATCH(vessel_choice,[1]!bunker_cost_ship,0))/vessel_mmbtu))</f>
        <v/>
      </c>
      <c r="K16" s="120" t="str">
        <f aca="false">IF($G16=0,"",(+INDEX([1]!PORT_CHARGES,MATCH(source,[1]!PORTS,0),MATCH(vessel,[1]!PORT_CHARGE_SHIPS,0))/vessel_mmbtu))</f>
        <v/>
      </c>
      <c r="L16" s="120" t="str">
        <f aca="false">IF($G16=0,"",(+INDEX([1]!PORT_CHARGES,MATCH(destination,[1]!PORTS,0),MATCH(vessel,[1]!PORT_CHARGE_SHIPS,0))/vessel_mmbtu))</f>
        <v/>
      </c>
      <c r="M16" s="120" t="str">
        <f aca="false">IF($G16=0,"",IF(route_choice=1,INDEX([1]!PORT_CHARGES,MATCH(suez,[1]!PORTS,0),MATCH(vessel,[1]!PORT_CHARGE_SHIPS,0)),0)/vessel_mmbtu)</f>
        <v/>
      </c>
      <c r="N16" s="120" t="str">
        <f aca="false">+IF(G16=0,"",+HLOOKUP(vessel,[1]!other_cost,3,0))</f>
        <v/>
      </c>
      <c r="O16" s="121" t="str">
        <f aca="false">+IF(G16=0,"",SUM(H16:N16))</f>
        <v/>
      </c>
      <c r="P16" s="88"/>
      <c r="Q16" s="90"/>
    </row>
    <row r="17" customFormat="false" ht="12.75" hidden="false" customHeight="false" outlineLevel="0" collapsed="false">
      <c r="E17" s="117" t="n">
        <f aca="false">+DATE(YEAR(E16),MONTH(E16)+1,1)</f>
        <v>46143</v>
      </c>
      <c r="F17" s="118" t="e">
        <f aca="false">+VLOOKUP(E17,[1]!curvecalc,3,0)</f>
        <v>#N/A</v>
      </c>
      <c r="G17" s="119" t="n">
        <f aca="false">+IF(AND(startdate&lt;=E17,enddate&gt;=E17),1,0)</f>
        <v>0</v>
      </c>
      <c r="H17" s="120" t="str">
        <f aca="false">+IF($G17=0,"",(+VLOOKUP($E17,[1]!FIXED_CHARTER_COST,HLOOKUP(vessel_choice,[1]!FIXED_CHARTER_COST,2,0)+1,0)*roundtrip_days)/vessel_mmbtu)</f>
        <v/>
      </c>
      <c r="I17" s="120" t="str">
        <f aca="false">+IF($G17=0,"",(+VLOOKUP($E17,[1]!OM_CHARTER_COST,HLOOKUP(vessel_choice,[1]!OM_CHARTER_COST,2,0)+1,0)*roundtrip_days)/vessel_mmbtu)</f>
        <v/>
      </c>
      <c r="J17" s="120" t="str">
        <f aca="false">IF($G17=0,"",(INDEX([1]!bunker_cost,MATCH(route,[1]!bunker_cost_route,0),MATCH(vessel_choice,[1]!bunker_cost_ship,0))/vessel_mmbtu))</f>
        <v/>
      </c>
      <c r="K17" s="120" t="str">
        <f aca="false">IF($G17=0,"",(+INDEX([1]!PORT_CHARGES,MATCH(source,[1]!PORTS,0),MATCH(vessel,[1]!PORT_CHARGE_SHIPS,0))/vessel_mmbtu))</f>
        <v/>
      </c>
      <c r="L17" s="120" t="str">
        <f aca="false">IF($G17=0,"",(+INDEX([1]!PORT_CHARGES,MATCH(destination,[1]!PORTS,0),MATCH(vessel,[1]!PORT_CHARGE_SHIPS,0))/vessel_mmbtu))</f>
        <v/>
      </c>
      <c r="M17" s="120" t="str">
        <f aca="false">IF($G17=0,"",IF(route_choice=1,INDEX([1]!PORT_CHARGES,MATCH(suez,[1]!PORTS,0),MATCH(vessel,[1]!PORT_CHARGE_SHIPS,0)),0)/vessel_mmbtu)</f>
        <v/>
      </c>
      <c r="N17" s="120" t="str">
        <f aca="false">+IF(G17=0,"",+HLOOKUP(vessel,[1]!other_cost,3,0))</f>
        <v/>
      </c>
      <c r="O17" s="121" t="str">
        <f aca="false">+IF(G17=0,"",SUM(H17:N17))</f>
        <v/>
      </c>
      <c r="P17" s="88"/>
      <c r="Q17" s="90"/>
    </row>
    <row r="18" customFormat="false" ht="12.75" hidden="false" customHeight="false" outlineLevel="0" collapsed="false">
      <c r="E18" s="117" t="n">
        <f aca="false">+DATE(YEAR(E17),MONTH(E17)+1,1)</f>
        <v>46174</v>
      </c>
      <c r="F18" s="118" t="e">
        <f aca="false">+VLOOKUP(E18,[1]!curvecalc,3,0)</f>
        <v>#N/A</v>
      </c>
      <c r="G18" s="119" t="n">
        <f aca="false">+IF(AND(startdate&lt;=E18,enddate&gt;=E18),1,0)</f>
        <v>0</v>
      </c>
      <c r="H18" s="120" t="str">
        <f aca="false">+IF($G18=0,"",(+VLOOKUP($E18,[1]!FIXED_CHARTER_COST,HLOOKUP(vessel_choice,[1]!FIXED_CHARTER_COST,2,0)+1,0)*roundtrip_days)/vessel_mmbtu)</f>
        <v/>
      </c>
      <c r="I18" s="120" t="str">
        <f aca="false">+IF($G18=0,"",(+VLOOKUP($E18,[1]!OM_CHARTER_COST,HLOOKUP(vessel_choice,[1]!OM_CHARTER_COST,2,0)+1,0)*roundtrip_days)/vessel_mmbtu)</f>
        <v/>
      </c>
      <c r="J18" s="120" t="str">
        <f aca="false">IF($G18=0,"",(INDEX([1]!bunker_cost,MATCH(route,[1]!bunker_cost_route,0),MATCH(vessel_choice,[1]!bunker_cost_ship,0))/vessel_mmbtu))</f>
        <v/>
      </c>
      <c r="K18" s="120" t="str">
        <f aca="false">IF($G18=0,"",(+INDEX([1]!PORT_CHARGES,MATCH(source,[1]!PORTS,0),MATCH(vessel,[1]!PORT_CHARGE_SHIPS,0))/vessel_mmbtu))</f>
        <v/>
      </c>
      <c r="L18" s="120" t="str">
        <f aca="false">IF($G18=0,"",(+INDEX([1]!PORT_CHARGES,MATCH(destination,[1]!PORTS,0),MATCH(vessel,[1]!PORT_CHARGE_SHIPS,0))/vessel_mmbtu))</f>
        <v/>
      </c>
      <c r="M18" s="120" t="str">
        <f aca="false">IF($G18=0,"",IF(route_choice=1,INDEX([1]!PORT_CHARGES,MATCH(suez,[1]!PORTS,0),MATCH(vessel,[1]!PORT_CHARGE_SHIPS,0)),0)/vessel_mmbtu)</f>
        <v/>
      </c>
      <c r="N18" s="120" t="str">
        <f aca="false">+IF(G18=0,"",+HLOOKUP(vessel,[1]!other_cost,3,0))</f>
        <v/>
      </c>
      <c r="O18" s="121" t="str">
        <f aca="false">+IF(G18=0,"",SUM(H18:N18))</f>
        <v/>
      </c>
      <c r="P18" s="88"/>
      <c r="Q18" s="90"/>
    </row>
    <row r="19" customFormat="false" ht="12.75" hidden="false" customHeight="false" outlineLevel="0" collapsed="false">
      <c r="E19" s="117" t="n">
        <f aca="false">+DATE(YEAR(E18),MONTH(E18)+1,1)</f>
        <v>46204</v>
      </c>
      <c r="F19" s="118" t="e">
        <f aca="false">+VLOOKUP(E19,[1]!curvecalc,3,0)</f>
        <v>#N/A</v>
      </c>
      <c r="G19" s="119" t="n">
        <f aca="false">+IF(AND(startdate&lt;=E19,enddate&gt;=E19),1,0)</f>
        <v>0</v>
      </c>
      <c r="H19" s="120" t="str">
        <f aca="false">+IF($G19=0,"",(+VLOOKUP($E19,[1]!FIXED_CHARTER_COST,HLOOKUP(vessel_choice,[1]!FIXED_CHARTER_COST,2,0)+1,0)*roundtrip_days)/vessel_mmbtu)</f>
        <v/>
      </c>
      <c r="I19" s="120" t="str">
        <f aca="false">+IF($G19=0,"",(+VLOOKUP($E19,[1]!OM_CHARTER_COST,HLOOKUP(vessel_choice,[1]!OM_CHARTER_COST,2,0)+1,0)*roundtrip_days)/vessel_mmbtu)</f>
        <v/>
      </c>
      <c r="J19" s="120" t="str">
        <f aca="false">IF($G19=0,"",(INDEX([1]!bunker_cost,MATCH(route,[1]!bunker_cost_route,0),MATCH(vessel_choice,[1]!bunker_cost_ship,0))/vessel_mmbtu))</f>
        <v/>
      </c>
      <c r="K19" s="120" t="str">
        <f aca="false">IF($G19=0,"",(+INDEX([1]!PORT_CHARGES,MATCH(source,[1]!PORTS,0),MATCH(vessel,[1]!PORT_CHARGE_SHIPS,0))/vessel_mmbtu))</f>
        <v/>
      </c>
      <c r="L19" s="120" t="str">
        <f aca="false">IF($G19=0,"",(+INDEX([1]!PORT_CHARGES,MATCH(destination,[1]!PORTS,0),MATCH(vessel,[1]!PORT_CHARGE_SHIPS,0))/vessel_mmbtu))</f>
        <v/>
      </c>
      <c r="M19" s="120" t="str">
        <f aca="false">IF($G19=0,"",IF(route_choice=1,INDEX([1]!PORT_CHARGES,MATCH(suez,[1]!PORTS,0),MATCH(vessel,[1]!PORT_CHARGE_SHIPS,0)),0)/vessel_mmbtu)</f>
        <v/>
      </c>
      <c r="N19" s="120" t="str">
        <f aca="false">+IF(G19=0,"",+HLOOKUP(vessel,[1]!other_cost,3,0))</f>
        <v/>
      </c>
      <c r="O19" s="121" t="str">
        <f aca="false">+IF(G19=0,"",SUM(H19:N19))</f>
        <v/>
      </c>
      <c r="P19" s="88"/>
      <c r="Q19" s="90"/>
    </row>
    <row r="20" customFormat="false" ht="12.75" hidden="false" customHeight="false" outlineLevel="0" collapsed="false">
      <c r="E20" s="117" t="n">
        <f aca="false">+DATE(YEAR(E19),MONTH(E19)+1,1)</f>
        <v>46235</v>
      </c>
      <c r="F20" s="118" t="e">
        <f aca="false">+VLOOKUP(E20,[1]!curvecalc,3,0)</f>
        <v>#N/A</v>
      </c>
      <c r="G20" s="119" t="n">
        <f aca="false">+IF(AND(startdate&lt;=E20,enddate&gt;=E20),1,0)</f>
        <v>0</v>
      </c>
      <c r="H20" s="120" t="str">
        <f aca="false">+IF($G20=0,"",(+VLOOKUP($E20,[1]!FIXED_CHARTER_COST,HLOOKUP(vessel_choice,[1]!FIXED_CHARTER_COST,2,0)+1,0)*roundtrip_days)/vessel_mmbtu)</f>
        <v/>
      </c>
      <c r="I20" s="120" t="str">
        <f aca="false">+IF($G20=0,"",(+VLOOKUP($E20,[1]!OM_CHARTER_COST,HLOOKUP(vessel_choice,[1]!OM_CHARTER_COST,2,0)+1,0)*roundtrip_days)/vessel_mmbtu)</f>
        <v/>
      </c>
      <c r="J20" s="120" t="str">
        <f aca="false">IF($G20=0,"",(INDEX([1]!bunker_cost,MATCH(route,[1]!bunker_cost_route,0),MATCH(vessel_choice,[1]!bunker_cost_ship,0))/vessel_mmbtu))</f>
        <v/>
      </c>
      <c r="K20" s="120" t="str">
        <f aca="false">IF($G20=0,"",(+INDEX([1]!PORT_CHARGES,MATCH(source,[1]!PORTS,0),MATCH(vessel,[1]!PORT_CHARGE_SHIPS,0))/vessel_mmbtu))</f>
        <v/>
      </c>
      <c r="L20" s="120" t="str">
        <f aca="false">IF($G20=0,"",(+INDEX([1]!PORT_CHARGES,MATCH(destination,[1]!PORTS,0),MATCH(vessel,[1]!PORT_CHARGE_SHIPS,0))/vessel_mmbtu))</f>
        <v/>
      </c>
      <c r="M20" s="120" t="str">
        <f aca="false">IF($G20=0,"",IF(route_choice=1,INDEX([1]!PORT_CHARGES,MATCH(suez,[1]!PORTS,0),MATCH(vessel,[1]!PORT_CHARGE_SHIPS,0)),0)/vessel_mmbtu)</f>
        <v/>
      </c>
      <c r="N20" s="120" t="str">
        <f aca="false">+IF(G20=0,"",+HLOOKUP(vessel,[1]!other_cost,3,0))</f>
        <v/>
      </c>
      <c r="O20" s="121" t="str">
        <f aca="false">+IF(G20=0,"",SUM(H20:N20))</f>
        <v/>
      </c>
      <c r="P20" s="88"/>
      <c r="Q20" s="90"/>
    </row>
    <row r="21" customFormat="false" ht="12.75" hidden="false" customHeight="false" outlineLevel="0" collapsed="false">
      <c r="E21" s="117" t="n">
        <f aca="false">+DATE(YEAR(E20),MONTH(E20)+1,1)</f>
        <v>46266</v>
      </c>
      <c r="F21" s="118" t="e">
        <f aca="false">+VLOOKUP(E21,[1]!curvecalc,3,0)</f>
        <v>#N/A</v>
      </c>
      <c r="G21" s="119" t="n">
        <f aca="false">+IF(AND(startdate&lt;=E21,enddate&gt;=E21),1,0)</f>
        <v>0</v>
      </c>
      <c r="H21" s="120" t="str">
        <f aca="false">+IF($G21=0,"",(+VLOOKUP($E21,[1]!FIXED_CHARTER_COST,HLOOKUP(vessel_choice,[1]!FIXED_CHARTER_COST,2,0)+1,0)*roundtrip_days)/vessel_mmbtu)</f>
        <v/>
      </c>
      <c r="I21" s="120" t="str">
        <f aca="false">+IF($G21=0,"",(+VLOOKUP($E21,[1]!OM_CHARTER_COST,HLOOKUP(vessel_choice,[1]!OM_CHARTER_COST,2,0)+1,0)*roundtrip_days)/vessel_mmbtu)</f>
        <v/>
      </c>
      <c r="J21" s="120" t="str">
        <f aca="false">IF($G21=0,"",(INDEX([1]!bunker_cost,MATCH(route,[1]!bunker_cost_route,0),MATCH(vessel_choice,[1]!bunker_cost_ship,0))/vessel_mmbtu))</f>
        <v/>
      </c>
      <c r="K21" s="120" t="str">
        <f aca="false">IF($G21=0,"",(+INDEX([1]!PORT_CHARGES,MATCH(source,[1]!PORTS,0),MATCH(vessel,[1]!PORT_CHARGE_SHIPS,0))/vessel_mmbtu))</f>
        <v/>
      </c>
      <c r="L21" s="120" t="str">
        <f aca="false">IF($G21=0,"",(+INDEX([1]!PORT_CHARGES,MATCH(destination,[1]!PORTS,0),MATCH(vessel,[1]!PORT_CHARGE_SHIPS,0))/vessel_mmbtu))</f>
        <v/>
      </c>
      <c r="M21" s="120" t="str">
        <f aca="false">IF($G21=0,"",IF(route_choice=1,INDEX([1]!PORT_CHARGES,MATCH(suez,[1]!PORTS,0),MATCH(vessel,[1]!PORT_CHARGE_SHIPS,0)),0)/vessel_mmbtu)</f>
        <v/>
      </c>
      <c r="N21" s="120" t="str">
        <f aca="false">+IF(G21=0,"",+HLOOKUP(vessel,[1]!other_cost,3,0))</f>
        <v/>
      </c>
      <c r="O21" s="121" t="str">
        <f aca="false">+IF(G21=0,"",SUM(H21:N21))</f>
        <v/>
      </c>
      <c r="P21" s="88"/>
      <c r="Q21" s="90"/>
    </row>
    <row r="22" customFormat="false" ht="12.75" hidden="false" customHeight="false" outlineLevel="0" collapsed="false">
      <c r="E22" s="117" t="n">
        <f aca="false">+DATE(YEAR(E21),MONTH(E21)+1,1)</f>
        <v>46296</v>
      </c>
      <c r="F22" s="118" t="e">
        <f aca="false">+VLOOKUP(E22,[1]!curvecalc,3,0)</f>
        <v>#N/A</v>
      </c>
      <c r="G22" s="119" t="n">
        <f aca="false">+IF(AND(startdate&lt;=E22,enddate&gt;=E22),1,0)</f>
        <v>0</v>
      </c>
      <c r="H22" s="120" t="str">
        <f aca="false">+IF($G22=0,"",(+VLOOKUP($E22,[1]!FIXED_CHARTER_COST,HLOOKUP(vessel_choice,[1]!FIXED_CHARTER_COST,2,0)+1,0)*roundtrip_days)/vessel_mmbtu)</f>
        <v/>
      </c>
      <c r="I22" s="120" t="str">
        <f aca="false">+IF($G22=0,"",(+VLOOKUP($E22,[1]!OM_CHARTER_COST,HLOOKUP(vessel_choice,[1]!OM_CHARTER_COST,2,0)+1,0)*roundtrip_days)/vessel_mmbtu)</f>
        <v/>
      </c>
      <c r="J22" s="120" t="str">
        <f aca="false">IF($G22=0,"",(INDEX([1]!bunker_cost,MATCH(route,[1]!bunker_cost_route,0),MATCH(vessel_choice,[1]!bunker_cost_ship,0))/vessel_mmbtu))</f>
        <v/>
      </c>
      <c r="K22" s="120" t="str">
        <f aca="false">IF($G22=0,"",(+INDEX([1]!PORT_CHARGES,MATCH(source,[1]!PORTS,0),MATCH(vessel,[1]!PORT_CHARGE_SHIPS,0))/vessel_mmbtu))</f>
        <v/>
      </c>
      <c r="L22" s="120" t="str">
        <f aca="false">IF($G22=0,"",(+INDEX([1]!PORT_CHARGES,MATCH(destination,[1]!PORTS,0),MATCH(vessel,[1]!PORT_CHARGE_SHIPS,0))/vessel_mmbtu))</f>
        <v/>
      </c>
      <c r="M22" s="120" t="str">
        <f aca="false">IF($G22=0,"",IF(route_choice=1,INDEX([1]!PORT_CHARGES,MATCH(suez,[1]!PORTS,0),MATCH(vessel,[1]!PORT_CHARGE_SHIPS,0)),0)/vessel_mmbtu)</f>
        <v/>
      </c>
      <c r="N22" s="120" t="str">
        <f aca="false">+IF(G22=0,"",+HLOOKUP(vessel,[1]!other_cost,3,0))</f>
        <v/>
      </c>
      <c r="O22" s="121" t="str">
        <f aca="false">+IF(G22=0,"",SUM(H22:N22))</f>
        <v/>
      </c>
      <c r="P22" s="88"/>
      <c r="Q22" s="90"/>
    </row>
    <row r="23" customFormat="false" ht="12.75" hidden="false" customHeight="false" outlineLevel="0" collapsed="false">
      <c r="E23" s="117" t="n">
        <f aca="false">+DATE(YEAR(E22),MONTH(E22)+1,1)</f>
        <v>46327</v>
      </c>
      <c r="F23" s="118" t="e">
        <f aca="false">+VLOOKUP(E23,[1]!curvecalc,3,0)</f>
        <v>#N/A</v>
      </c>
      <c r="G23" s="119" t="n">
        <f aca="false">+IF(AND(startdate&lt;=E23,enddate&gt;=E23),1,0)</f>
        <v>0</v>
      </c>
      <c r="H23" s="120" t="str">
        <f aca="false">+IF($G23=0,"",(+VLOOKUP($E23,[1]!FIXED_CHARTER_COST,HLOOKUP(vessel_choice,[1]!FIXED_CHARTER_COST,2,0)+1,0)*roundtrip_days)/vessel_mmbtu)</f>
        <v/>
      </c>
      <c r="I23" s="120" t="str">
        <f aca="false">+IF($G23=0,"",(+VLOOKUP($E23,[1]!OM_CHARTER_COST,HLOOKUP(vessel_choice,[1]!OM_CHARTER_COST,2,0)+1,0)*roundtrip_days)/vessel_mmbtu)</f>
        <v/>
      </c>
      <c r="J23" s="120" t="str">
        <f aca="false">IF($G23=0,"",(INDEX([1]!bunker_cost,MATCH(route,[1]!bunker_cost_route,0),MATCH(vessel_choice,[1]!bunker_cost_ship,0))/vessel_mmbtu))</f>
        <v/>
      </c>
      <c r="K23" s="120" t="str">
        <f aca="false">IF($G23=0,"",(+INDEX([1]!PORT_CHARGES,MATCH(source,[1]!PORTS,0),MATCH(vessel,[1]!PORT_CHARGE_SHIPS,0))/vessel_mmbtu))</f>
        <v/>
      </c>
      <c r="L23" s="120" t="str">
        <f aca="false">IF($G23=0,"",(+INDEX([1]!PORT_CHARGES,MATCH(destination,[1]!PORTS,0),MATCH(vessel,[1]!PORT_CHARGE_SHIPS,0))/vessel_mmbtu))</f>
        <v/>
      </c>
      <c r="M23" s="120" t="str">
        <f aca="false">IF($G23=0,"",IF(route_choice=1,INDEX([1]!PORT_CHARGES,MATCH(suez,[1]!PORTS,0),MATCH(vessel,[1]!PORT_CHARGE_SHIPS,0)),0)/vessel_mmbtu)</f>
        <v/>
      </c>
      <c r="N23" s="120" t="str">
        <f aca="false">+IF(G23=0,"",+HLOOKUP(vessel,[1]!other_cost,3,0))</f>
        <v/>
      </c>
      <c r="O23" s="121" t="str">
        <f aca="false">+IF(G23=0,"",SUM(H23:N23))</f>
        <v/>
      </c>
      <c r="P23" s="88"/>
      <c r="Q23" s="90"/>
    </row>
    <row r="24" customFormat="false" ht="12.75" hidden="false" customHeight="false" outlineLevel="0" collapsed="false">
      <c r="E24" s="117" t="n">
        <f aca="false">+DATE(YEAR(E23),MONTH(E23)+1,1)</f>
        <v>46357</v>
      </c>
      <c r="F24" s="118" t="e">
        <f aca="false">+VLOOKUP(E24,[1]!curvecalc,3,0)</f>
        <v>#N/A</v>
      </c>
      <c r="G24" s="119" t="n">
        <f aca="false">+IF(AND(startdate&lt;=E24,enddate&gt;=E24),1,0)</f>
        <v>0</v>
      </c>
      <c r="H24" s="120" t="str">
        <f aca="false">+IF($G24=0,"",(+VLOOKUP($E24,[1]!FIXED_CHARTER_COST,HLOOKUP(vessel_choice,[1]!FIXED_CHARTER_COST,2,0)+1,0)*roundtrip_days)/vessel_mmbtu)</f>
        <v/>
      </c>
      <c r="I24" s="120" t="str">
        <f aca="false">+IF($G24=0,"",(+VLOOKUP($E24,[1]!OM_CHARTER_COST,HLOOKUP(vessel_choice,[1]!OM_CHARTER_COST,2,0)+1,0)*roundtrip_days)/vessel_mmbtu)</f>
        <v/>
      </c>
      <c r="J24" s="120" t="str">
        <f aca="false">IF($G24=0,"",(INDEX([1]!bunker_cost,MATCH(route,[1]!bunker_cost_route,0),MATCH(vessel_choice,[1]!bunker_cost_ship,0))/vessel_mmbtu))</f>
        <v/>
      </c>
      <c r="K24" s="120" t="str">
        <f aca="false">IF($G24=0,"",(+INDEX([1]!PORT_CHARGES,MATCH(source,[1]!PORTS,0),MATCH(vessel,[1]!PORT_CHARGE_SHIPS,0))/vessel_mmbtu))</f>
        <v/>
      </c>
      <c r="L24" s="120" t="str">
        <f aca="false">IF($G24=0,"",(+INDEX([1]!PORT_CHARGES,MATCH(destination,[1]!PORTS,0),MATCH(vessel,[1]!PORT_CHARGE_SHIPS,0))/vessel_mmbtu))</f>
        <v/>
      </c>
      <c r="M24" s="120" t="str">
        <f aca="false">IF($G24=0,"",IF(route_choice=1,INDEX([1]!PORT_CHARGES,MATCH(suez,[1]!PORTS,0),MATCH(vessel,[1]!PORT_CHARGE_SHIPS,0)),0)/vessel_mmbtu)</f>
        <v/>
      </c>
      <c r="N24" s="120" t="str">
        <f aca="false">+IF(G24=0,"",+HLOOKUP(vessel,[1]!other_cost,3,0))</f>
        <v/>
      </c>
      <c r="O24" s="121" t="str">
        <f aca="false">+IF(G24=0,"",SUM(H24:N24))</f>
        <v/>
      </c>
      <c r="P24" s="88"/>
      <c r="Q24" s="90"/>
    </row>
    <row r="25" customFormat="false" ht="12.75" hidden="false" customHeight="false" outlineLevel="0" collapsed="false">
      <c r="E25" s="117" t="n">
        <f aca="false">+DATE(YEAR(E24),MONTH(E24)+1,1)</f>
        <v>46388</v>
      </c>
      <c r="F25" s="118" t="e">
        <f aca="false">+VLOOKUP(E25,[1]!curvecalc,3,0)</f>
        <v>#N/A</v>
      </c>
      <c r="G25" s="119" t="n">
        <f aca="false">+IF(AND(startdate&lt;=E25,enddate&gt;=E25),1,0)</f>
        <v>0</v>
      </c>
      <c r="H25" s="120" t="str">
        <f aca="false">+IF($G25=0,"",(+VLOOKUP($E25,[1]!FIXED_CHARTER_COST,HLOOKUP(vessel_choice,[1]!FIXED_CHARTER_COST,2,0)+1,0)*roundtrip_days)/vessel_mmbtu)</f>
        <v/>
      </c>
      <c r="I25" s="120" t="str">
        <f aca="false">+IF($G25=0,"",(+VLOOKUP($E25,[1]!OM_CHARTER_COST,HLOOKUP(vessel_choice,[1]!OM_CHARTER_COST,2,0)+1,0)*roundtrip_days)/vessel_mmbtu)</f>
        <v/>
      </c>
      <c r="J25" s="120" t="str">
        <f aca="false">IF($G25=0,"",(INDEX([1]!bunker_cost,MATCH(route,[1]!bunker_cost_route,0),MATCH(vessel_choice,[1]!bunker_cost_ship,0))/vessel_mmbtu))</f>
        <v/>
      </c>
      <c r="K25" s="120" t="str">
        <f aca="false">IF($G25=0,"",(+INDEX([1]!PORT_CHARGES,MATCH(source,[1]!PORTS,0),MATCH(vessel,[1]!PORT_CHARGE_SHIPS,0))/vessel_mmbtu))</f>
        <v/>
      </c>
      <c r="L25" s="120" t="str">
        <f aca="false">IF($G25=0,"",(+INDEX([1]!PORT_CHARGES,MATCH(destination,[1]!PORTS,0),MATCH(vessel,[1]!PORT_CHARGE_SHIPS,0))/vessel_mmbtu))</f>
        <v/>
      </c>
      <c r="M25" s="120" t="str">
        <f aca="false">IF($G25=0,"",IF(route_choice=1,INDEX([1]!PORT_CHARGES,MATCH(suez,[1]!PORTS,0),MATCH(vessel,[1]!PORT_CHARGE_SHIPS,0)),0)/vessel_mmbtu)</f>
        <v/>
      </c>
      <c r="N25" s="120" t="str">
        <f aca="false">+IF(G25=0,"",+HLOOKUP(vessel,[1]!other_cost,3,0))</f>
        <v/>
      </c>
      <c r="O25" s="121" t="str">
        <f aca="false">+IF(G25=0,"",SUM(H25:N25))</f>
        <v/>
      </c>
      <c r="P25" s="88"/>
      <c r="Q25" s="90"/>
    </row>
    <row r="26" customFormat="false" ht="12.75" hidden="false" customHeight="false" outlineLevel="0" collapsed="false">
      <c r="E26" s="117" t="n">
        <f aca="false">+DATE(YEAR(E25),MONTH(E25)+1,1)</f>
        <v>46419</v>
      </c>
      <c r="F26" s="118" t="e">
        <f aca="false">+VLOOKUP(E26,[1]!curvecalc,3,0)</f>
        <v>#N/A</v>
      </c>
      <c r="G26" s="119" t="n">
        <f aca="false">+IF(AND(startdate&lt;=E26,enddate&gt;=E26),1,0)</f>
        <v>0</v>
      </c>
      <c r="H26" s="120" t="str">
        <f aca="false">+IF($G26=0,"",(+VLOOKUP($E26,[1]!FIXED_CHARTER_COST,HLOOKUP(vessel_choice,[1]!FIXED_CHARTER_COST,2,0)+1,0)*roundtrip_days)/vessel_mmbtu)</f>
        <v/>
      </c>
      <c r="I26" s="120" t="str">
        <f aca="false">+IF($G26=0,"",(+VLOOKUP($E26,[1]!OM_CHARTER_COST,HLOOKUP(vessel_choice,[1]!OM_CHARTER_COST,2,0)+1,0)*roundtrip_days)/vessel_mmbtu)</f>
        <v/>
      </c>
      <c r="J26" s="120" t="str">
        <f aca="false">IF($G26=0,"",(INDEX([1]!bunker_cost,MATCH(route,[1]!bunker_cost_route,0),MATCH(vessel_choice,[1]!bunker_cost_ship,0))/vessel_mmbtu))</f>
        <v/>
      </c>
      <c r="K26" s="120" t="str">
        <f aca="false">IF($G26=0,"",(+INDEX([1]!PORT_CHARGES,MATCH(source,[1]!PORTS,0),MATCH(vessel,[1]!PORT_CHARGE_SHIPS,0))/vessel_mmbtu))</f>
        <v/>
      </c>
      <c r="L26" s="120" t="str">
        <f aca="false">IF($G26=0,"",(+INDEX([1]!PORT_CHARGES,MATCH(destination,[1]!PORTS,0),MATCH(vessel,[1]!PORT_CHARGE_SHIPS,0))/vessel_mmbtu))</f>
        <v/>
      </c>
      <c r="M26" s="120" t="str">
        <f aca="false">IF($G26=0,"",IF(route_choice=1,INDEX([1]!PORT_CHARGES,MATCH(suez,[1]!PORTS,0),MATCH(vessel,[1]!PORT_CHARGE_SHIPS,0)),0)/vessel_mmbtu)</f>
        <v/>
      </c>
      <c r="N26" s="120" t="str">
        <f aca="false">+IF(G26=0,"",+HLOOKUP(vessel,[1]!other_cost,3,0))</f>
        <v/>
      </c>
      <c r="O26" s="121" t="str">
        <f aca="false">+IF(G26=0,"",SUM(H26:N26))</f>
        <v/>
      </c>
      <c r="P26" s="88"/>
      <c r="Q26" s="90"/>
    </row>
    <row r="27" customFormat="false" ht="12.75" hidden="false" customHeight="false" outlineLevel="0" collapsed="false">
      <c r="E27" s="117" t="n">
        <f aca="false">+DATE(YEAR(E26),MONTH(E26)+1,1)</f>
        <v>46447</v>
      </c>
      <c r="F27" s="118" t="e">
        <f aca="false">+VLOOKUP(E27,[1]!curvecalc,3,0)</f>
        <v>#N/A</v>
      </c>
      <c r="G27" s="119" t="n">
        <f aca="false">+IF(AND(startdate&lt;=E27,enddate&gt;=E27),1,0)</f>
        <v>0</v>
      </c>
      <c r="H27" s="120" t="str">
        <f aca="false">+IF($G27=0,"",(+VLOOKUP($E27,[1]!FIXED_CHARTER_COST,HLOOKUP(vessel_choice,[1]!FIXED_CHARTER_COST,2,0)+1,0)*roundtrip_days)/vessel_mmbtu)</f>
        <v/>
      </c>
      <c r="I27" s="120" t="str">
        <f aca="false">+IF($G27=0,"",(+VLOOKUP($E27,[1]!OM_CHARTER_COST,HLOOKUP(vessel_choice,[1]!OM_CHARTER_COST,2,0)+1,0)*roundtrip_days)/vessel_mmbtu)</f>
        <v/>
      </c>
      <c r="J27" s="120" t="str">
        <f aca="false">IF($G27=0,"",(INDEX([1]!bunker_cost,MATCH(route,[1]!bunker_cost_route,0),MATCH(vessel_choice,[1]!bunker_cost_ship,0))/vessel_mmbtu))</f>
        <v/>
      </c>
      <c r="K27" s="120" t="str">
        <f aca="false">IF($G27=0,"",(+INDEX([1]!PORT_CHARGES,MATCH(source,[1]!PORTS,0),MATCH(vessel,[1]!PORT_CHARGE_SHIPS,0))/vessel_mmbtu))</f>
        <v/>
      </c>
      <c r="L27" s="120" t="str">
        <f aca="false">IF($G27=0,"",(+INDEX([1]!PORT_CHARGES,MATCH(destination,[1]!PORTS,0),MATCH(vessel,[1]!PORT_CHARGE_SHIPS,0))/vessel_mmbtu))</f>
        <v/>
      </c>
      <c r="M27" s="120" t="str">
        <f aca="false">IF($G27=0,"",IF(route_choice=1,INDEX([1]!PORT_CHARGES,MATCH(suez,[1]!PORTS,0),MATCH(vessel,[1]!PORT_CHARGE_SHIPS,0)),0)/vessel_mmbtu)</f>
        <v/>
      </c>
      <c r="N27" s="120" t="str">
        <f aca="false">+IF(G27=0,"",+HLOOKUP(vessel,[1]!other_cost,3,0))</f>
        <v/>
      </c>
      <c r="O27" s="121" t="str">
        <f aca="false">+IF(G27=0,"",SUM(H27:N27))</f>
        <v/>
      </c>
      <c r="P27" s="88"/>
      <c r="Q27" s="90"/>
    </row>
    <row r="28" customFormat="false" ht="12.75" hidden="false" customHeight="false" outlineLevel="0" collapsed="false">
      <c r="E28" s="117" t="n">
        <f aca="false">+DATE(YEAR(E27),MONTH(E27)+1,1)</f>
        <v>46478</v>
      </c>
      <c r="F28" s="118" t="e">
        <f aca="false">+VLOOKUP(E28,[1]!curvecalc,3,0)</f>
        <v>#N/A</v>
      </c>
      <c r="G28" s="119" t="n">
        <f aca="false">+IF(AND(startdate&lt;=E28,enddate&gt;=E28),1,0)</f>
        <v>0</v>
      </c>
      <c r="H28" s="120" t="str">
        <f aca="false">+IF($G28=0,"",(+VLOOKUP($E28,[1]!FIXED_CHARTER_COST,HLOOKUP(vessel_choice,[1]!FIXED_CHARTER_COST,2,0)+1,0)*roundtrip_days)/vessel_mmbtu)</f>
        <v/>
      </c>
      <c r="I28" s="120" t="str">
        <f aca="false">+IF($G28=0,"",(+VLOOKUP($E28,[1]!OM_CHARTER_COST,HLOOKUP(vessel_choice,[1]!OM_CHARTER_COST,2,0)+1,0)*roundtrip_days)/vessel_mmbtu)</f>
        <v/>
      </c>
      <c r="J28" s="120" t="str">
        <f aca="false">IF($G28=0,"",(INDEX([1]!bunker_cost,MATCH(route,[1]!bunker_cost_route,0),MATCH(vessel_choice,[1]!bunker_cost_ship,0))/vessel_mmbtu))</f>
        <v/>
      </c>
      <c r="K28" s="120" t="str">
        <f aca="false">IF($G28=0,"",(+INDEX([1]!PORT_CHARGES,MATCH(source,[1]!PORTS,0),MATCH(vessel,[1]!PORT_CHARGE_SHIPS,0))/vessel_mmbtu))</f>
        <v/>
      </c>
      <c r="L28" s="120" t="str">
        <f aca="false">IF($G28=0,"",(+INDEX([1]!PORT_CHARGES,MATCH(destination,[1]!PORTS,0),MATCH(vessel,[1]!PORT_CHARGE_SHIPS,0))/vessel_mmbtu))</f>
        <v/>
      </c>
      <c r="M28" s="120" t="str">
        <f aca="false">IF($G28=0,"",IF(route_choice=1,INDEX([1]!PORT_CHARGES,MATCH(suez,[1]!PORTS,0),MATCH(vessel,[1]!PORT_CHARGE_SHIPS,0)),0)/vessel_mmbtu)</f>
        <v/>
      </c>
      <c r="N28" s="120" t="str">
        <f aca="false">+IF(G28=0,"",+HLOOKUP(vessel,[1]!other_cost,3,0))</f>
        <v/>
      </c>
      <c r="O28" s="121" t="str">
        <f aca="false">+IF(G28=0,"",SUM(H28:N28))</f>
        <v/>
      </c>
      <c r="P28" s="88"/>
      <c r="Q28" s="90"/>
    </row>
    <row r="29" customFormat="false" ht="12.75" hidden="false" customHeight="false" outlineLevel="0" collapsed="false">
      <c r="E29" s="117" t="n">
        <f aca="false">+DATE(YEAR(E28),MONTH(E28)+1,1)</f>
        <v>46508</v>
      </c>
      <c r="F29" s="118" t="e">
        <f aca="false">+VLOOKUP(E29,[1]!curvecalc,3,0)</f>
        <v>#N/A</v>
      </c>
      <c r="G29" s="119" t="n">
        <f aca="false">+IF(AND(startdate&lt;=E29,enddate&gt;=E29),1,0)</f>
        <v>0</v>
      </c>
      <c r="H29" s="120" t="str">
        <f aca="false">+IF($G29=0,"",(+VLOOKUP($E29,[1]!FIXED_CHARTER_COST,HLOOKUP(vessel_choice,[1]!FIXED_CHARTER_COST,2,0)+1,0)*roundtrip_days)/vessel_mmbtu)</f>
        <v/>
      </c>
      <c r="I29" s="120" t="str">
        <f aca="false">+IF($G29=0,"",(+VLOOKUP($E29,[1]!OM_CHARTER_COST,HLOOKUP(vessel_choice,[1]!OM_CHARTER_COST,2,0)+1,0)*roundtrip_days)/vessel_mmbtu)</f>
        <v/>
      </c>
      <c r="J29" s="120" t="str">
        <f aca="false">IF($G29=0,"",(INDEX([1]!bunker_cost,MATCH(route,[1]!bunker_cost_route,0),MATCH(vessel_choice,[1]!bunker_cost_ship,0))/vessel_mmbtu))</f>
        <v/>
      </c>
      <c r="K29" s="120" t="str">
        <f aca="false">IF($G29=0,"",(+INDEX([1]!PORT_CHARGES,MATCH(source,[1]!PORTS,0),MATCH(vessel,[1]!PORT_CHARGE_SHIPS,0))/vessel_mmbtu))</f>
        <v/>
      </c>
      <c r="L29" s="120" t="str">
        <f aca="false">IF($G29=0,"",(+INDEX([1]!PORT_CHARGES,MATCH(destination,[1]!PORTS,0),MATCH(vessel,[1]!PORT_CHARGE_SHIPS,0))/vessel_mmbtu))</f>
        <v/>
      </c>
      <c r="M29" s="120" t="str">
        <f aca="false">IF($G29=0,"",IF(route_choice=1,INDEX([1]!PORT_CHARGES,MATCH(suez,[1]!PORTS,0),MATCH(vessel,[1]!PORT_CHARGE_SHIPS,0)),0)/vessel_mmbtu)</f>
        <v/>
      </c>
      <c r="N29" s="120" t="str">
        <f aca="false">+IF(G29=0,"",+HLOOKUP(vessel,[1]!other_cost,3,0))</f>
        <v/>
      </c>
      <c r="O29" s="121" t="str">
        <f aca="false">+IF(G29=0,"",SUM(H29:N29))</f>
        <v/>
      </c>
      <c r="P29" s="88"/>
      <c r="Q29" s="90"/>
    </row>
    <row r="30" customFormat="false" ht="12.75" hidden="false" customHeight="false" outlineLevel="0" collapsed="false">
      <c r="E30" s="117" t="n">
        <f aca="false">+DATE(YEAR(E29),MONTH(E29)+1,1)</f>
        <v>46539</v>
      </c>
      <c r="F30" s="118" t="e">
        <f aca="false">+VLOOKUP(E30,[1]!curvecalc,3,0)</f>
        <v>#N/A</v>
      </c>
      <c r="G30" s="119" t="n">
        <f aca="false">+IF(AND(startdate&lt;=E30,enddate&gt;=E30),1,0)</f>
        <v>0</v>
      </c>
      <c r="H30" s="120" t="str">
        <f aca="false">+IF($G30=0,"",(+VLOOKUP($E30,[1]!FIXED_CHARTER_COST,HLOOKUP(vessel_choice,[1]!FIXED_CHARTER_COST,2,0)+1,0)*roundtrip_days)/vessel_mmbtu)</f>
        <v/>
      </c>
      <c r="I30" s="120" t="str">
        <f aca="false">+IF($G30=0,"",(+VLOOKUP($E30,[1]!OM_CHARTER_COST,HLOOKUP(vessel_choice,[1]!OM_CHARTER_COST,2,0)+1,0)*roundtrip_days)/vessel_mmbtu)</f>
        <v/>
      </c>
      <c r="J30" s="120" t="str">
        <f aca="false">IF($G30=0,"",(INDEX([1]!bunker_cost,MATCH(route,[1]!bunker_cost_route,0),MATCH(vessel_choice,[1]!bunker_cost_ship,0))/vessel_mmbtu))</f>
        <v/>
      </c>
      <c r="K30" s="120" t="str">
        <f aca="false">IF($G30=0,"",(+INDEX([1]!PORT_CHARGES,MATCH(source,[1]!PORTS,0),MATCH(vessel,[1]!PORT_CHARGE_SHIPS,0))/vessel_mmbtu))</f>
        <v/>
      </c>
      <c r="L30" s="120" t="str">
        <f aca="false">IF($G30=0,"",(+INDEX([1]!PORT_CHARGES,MATCH(destination,[1]!PORTS,0),MATCH(vessel,[1]!PORT_CHARGE_SHIPS,0))/vessel_mmbtu))</f>
        <v/>
      </c>
      <c r="M30" s="120" t="str">
        <f aca="false">IF($G30=0,"",IF(route_choice=1,INDEX([1]!PORT_CHARGES,MATCH(suez,[1]!PORTS,0),MATCH(vessel,[1]!PORT_CHARGE_SHIPS,0)),0)/vessel_mmbtu)</f>
        <v/>
      </c>
      <c r="N30" s="120" t="str">
        <f aca="false">+IF(G30=0,"",+HLOOKUP(vessel,[1]!other_cost,3,0))</f>
        <v/>
      </c>
      <c r="O30" s="121" t="str">
        <f aca="false">+IF(G30=0,"",SUM(H30:N30))</f>
        <v/>
      </c>
      <c r="P30" s="88"/>
      <c r="Q30" s="90"/>
    </row>
    <row r="31" customFormat="false" ht="12.75" hidden="false" customHeight="false" outlineLevel="0" collapsed="false">
      <c r="E31" s="117" t="n">
        <f aca="false">+DATE(YEAR(E30),MONTH(E30)+1,1)</f>
        <v>46569</v>
      </c>
      <c r="F31" s="118" t="e">
        <f aca="false">+VLOOKUP(E31,[1]!curvecalc,3,0)</f>
        <v>#N/A</v>
      </c>
      <c r="G31" s="119" t="n">
        <f aca="false">+IF(AND(startdate&lt;=E31,enddate&gt;=E31),1,0)</f>
        <v>0</v>
      </c>
      <c r="H31" s="120" t="str">
        <f aca="false">+IF($G31=0,"",(+VLOOKUP($E31,[1]!FIXED_CHARTER_COST,HLOOKUP(vessel_choice,[1]!FIXED_CHARTER_COST,2,0)+1,0)*roundtrip_days)/vessel_mmbtu)</f>
        <v/>
      </c>
      <c r="I31" s="120" t="str">
        <f aca="false">+IF($G31=0,"",(+VLOOKUP($E31,[1]!OM_CHARTER_COST,HLOOKUP(vessel_choice,[1]!OM_CHARTER_COST,2,0)+1,0)*roundtrip_days)/vessel_mmbtu)</f>
        <v/>
      </c>
      <c r="J31" s="120" t="str">
        <f aca="false">IF($G31=0,"",(INDEX([1]!bunker_cost,MATCH(route,[1]!bunker_cost_route,0),MATCH(vessel_choice,[1]!bunker_cost_ship,0))/vessel_mmbtu))</f>
        <v/>
      </c>
      <c r="K31" s="120" t="str">
        <f aca="false">IF($G31=0,"",(+INDEX([1]!PORT_CHARGES,MATCH(source,[1]!PORTS,0),MATCH(vessel,[1]!PORT_CHARGE_SHIPS,0))/vessel_mmbtu))</f>
        <v/>
      </c>
      <c r="L31" s="120" t="str">
        <f aca="false">IF($G31=0,"",(+INDEX([1]!PORT_CHARGES,MATCH(destination,[1]!PORTS,0),MATCH(vessel,[1]!PORT_CHARGE_SHIPS,0))/vessel_mmbtu))</f>
        <v/>
      </c>
      <c r="M31" s="120" t="str">
        <f aca="false">IF($G31=0,"",IF(route_choice=1,INDEX([1]!PORT_CHARGES,MATCH(suez,[1]!PORTS,0),MATCH(vessel,[1]!PORT_CHARGE_SHIPS,0)),0)/vessel_mmbtu)</f>
        <v/>
      </c>
      <c r="N31" s="120" t="str">
        <f aca="false">+IF(G31=0,"",+HLOOKUP(vessel,[1]!other_cost,3,0))</f>
        <v/>
      </c>
      <c r="O31" s="121" t="str">
        <f aca="false">+IF(G31=0,"",SUM(H31:N31))</f>
        <v/>
      </c>
      <c r="P31" s="88"/>
      <c r="Q31" s="90"/>
    </row>
    <row r="32" customFormat="false" ht="12.75" hidden="false" customHeight="false" outlineLevel="0" collapsed="false">
      <c r="E32" s="117" t="n">
        <f aca="false">+DATE(YEAR(E31),MONTH(E31)+1,1)</f>
        <v>46600</v>
      </c>
      <c r="F32" s="118" t="e">
        <f aca="false">+VLOOKUP(E32,[1]!curvecalc,3,0)</f>
        <v>#N/A</v>
      </c>
      <c r="G32" s="119" t="n">
        <f aca="false">+IF(AND(startdate&lt;=E32,enddate&gt;=E32),1,0)</f>
        <v>0</v>
      </c>
      <c r="H32" s="120" t="str">
        <f aca="false">+IF($G32=0,"",(+VLOOKUP($E32,[1]!FIXED_CHARTER_COST,HLOOKUP(vessel_choice,[1]!FIXED_CHARTER_COST,2,0)+1,0)*roundtrip_days)/vessel_mmbtu)</f>
        <v/>
      </c>
      <c r="I32" s="120" t="str">
        <f aca="false">+IF($G32=0,"",(+VLOOKUP($E32,[1]!OM_CHARTER_COST,HLOOKUP(vessel_choice,[1]!OM_CHARTER_COST,2,0)+1,0)*roundtrip_days)/vessel_mmbtu)</f>
        <v/>
      </c>
      <c r="J32" s="120" t="str">
        <f aca="false">IF($G32=0,"",(INDEX([1]!bunker_cost,MATCH(route,[1]!bunker_cost_route,0),MATCH(vessel_choice,[1]!bunker_cost_ship,0))/vessel_mmbtu))</f>
        <v/>
      </c>
      <c r="K32" s="120" t="str">
        <f aca="false">IF($G32=0,"",(+INDEX([1]!PORT_CHARGES,MATCH(source,[1]!PORTS,0),MATCH(vessel,[1]!PORT_CHARGE_SHIPS,0))/vessel_mmbtu))</f>
        <v/>
      </c>
      <c r="L32" s="120" t="str">
        <f aca="false">IF($G32=0,"",(+INDEX([1]!PORT_CHARGES,MATCH(destination,[1]!PORTS,0),MATCH(vessel,[1]!PORT_CHARGE_SHIPS,0))/vessel_mmbtu))</f>
        <v/>
      </c>
      <c r="M32" s="120" t="str">
        <f aca="false">IF($G32=0,"",IF(route_choice=1,INDEX([1]!PORT_CHARGES,MATCH(suez,[1]!PORTS,0),MATCH(vessel,[1]!PORT_CHARGE_SHIPS,0)),0)/vessel_mmbtu)</f>
        <v/>
      </c>
      <c r="N32" s="120" t="str">
        <f aca="false">+IF(G32=0,"",+HLOOKUP(vessel,[1]!other_cost,3,0))</f>
        <v/>
      </c>
      <c r="O32" s="121" t="str">
        <f aca="false">+IF(G32=0,"",SUM(H32:N32))</f>
        <v/>
      </c>
      <c r="P32" s="88"/>
      <c r="Q32" s="90"/>
    </row>
    <row r="33" customFormat="false" ht="12.75" hidden="false" customHeight="false" outlineLevel="0" collapsed="false">
      <c r="E33" s="117" t="n">
        <f aca="false">+DATE(YEAR(E32),MONTH(E32)+1,1)</f>
        <v>46631</v>
      </c>
      <c r="F33" s="118" t="e">
        <f aca="false">+VLOOKUP(E33,[1]!curvecalc,3,0)</f>
        <v>#N/A</v>
      </c>
      <c r="G33" s="119" t="n">
        <f aca="false">+IF(AND(startdate&lt;=E33,enddate&gt;=E33),1,0)</f>
        <v>0</v>
      </c>
      <c r="H33" s="120" t="str">
        <f aca="false">+IF($G33=0,"",(+VLOOKUP($E33,[1]!FIXED_CHARTER_COST,HLOOKUP(vessel_choice,[1]!FIXED_CHARTER_COST,2,0)+1,0)*roundtrip_days)/vessel_mmbtu)</f>
        <v/>
      </c>
      <c r="I33" s="120" t="str">
        <f aca="false">+IF($G33=0,"",(+VLOOKUP($E33,[1]!OM_CHARTER_COST,HLOOKUP(vessel_choice,[1]!OM_CHARTER_COST,2,0)+1,0)*roundtrip_days)/vessel_mmbtu)</f>
        <v/>
      </c>
      <c r="J33" s="120" t="str">
        <f aca="false">IF($G33=0,"",(INDEX([1]!bunker_cost,MATCH(route,[1]!bunker_cost_route,0),MATCH(vessel_choice,[1]!bunker_cost_ship,0))/vessel_mmbtu))</f>
        <v/>
      </c>
      <c r="K33" s="120" t="str">
        <f aca="false">IF($G33=0,"",(+INDEX([1]!PORT_CHARGES,MATCH(source,[1]!PORTS,0),MATCH(vessel,[1]!PORT_CHARGE_SHIPS,0))/vessel_mmbtu))</f>
        <v/>
      </c>
      <c r="L33" s="120" t="str">
        <f aca="false">IF($G33=0,"",(+INDEX([1]!PORT_CHARGES,MATCH(destination,[1]!PORTS,0),MATCH(vessel,[1]!PORT_CHARGE_SHIPS,0))/vessel_mmbtu))</f>
        <v/>
      </c>
      <c r="M33" s="120" t="str">
        <f aca="false">IF($G33=0,"",IF(route_choice=1,INDEX([1]!PORT_CHARGES,MATCH(suez,[1]!PORTS,0),MATCH(vessel,[1]!PORT_CHARGE_SHIPS,0)),0)/vessel_mmbtu)</f>
        <v/>
      </c>
      <c r="N33" s="120" t="str">
        <f aca="false">+IF(G33=0,"",+HLOOKUP(vessel,[1]!other_cost,3,0))</f>
        <v/>
      </c>
      <c r="O33" s="121" t="str">
        <f aca="false">+IF(G33=0,"",SUM(H33:N33))</f>
        <v/>
      </c>
      <c r="P33" s="88"/>
      <c r="Q33" s="90"/>
    </row>
    <row r="34" customFormat="false" ht="12.75" hidden="false" customHeight="false" outlineLevel="0" collapsed="false">
      <c r="E34" s="117" t="n">
        <f aca="false">+DATE(YEAR(E33),MONTH(E33)+1,1)</f>
        <v>46661</v>
      </c>
      <c r="F34" s="118" t="e">
        <f aca="false">+VLOOKUP(E34,[1]!curvecalc,3,0)</f>
        <v>#N/A</v>
      </c>
      <c r="G34" s="119" t="n">
        <f aca="false">+IF(AND(startdate&lt;=E34,enddate&gt;=E34),1,0)</f>
        <v>0</v>
      </c>
      <c r="H34" s="120" t="str">
        <f aca="false">+IF($G34=0,"",(+VLOOKUP($E34,[1]!FIXED_CHARTER_COST,HLOOKUP(vessel_choice,[1]!FIXED_CHARTER_COST,2,0)+1,0)*roundtrip_days)/vessel_mmbtu)</f>
        <v/>
      </c>
      <c r="I34" s="120" t="str">
        <f aca="false">+IF($G34=0,"",(+VLOOKUP($E34,[1]!OM_CHARTER_COST,HLOOKUP(vessel_choice,[1]!OM_CHARTER_COST,2,0)+1,0)*roundtrip_days)/vessel_mmbtu)</f>
        <v/>
      </c>
      <c r="J34" s="120" t="str">
        <f aca="false">IF($G34=0,"",(INDEX([1]!bunker_cost,MATCH(route,[1]!bunker_cost_route,0),MATCH(vessel_choice,[1]!bunker_cost_ship,0))/vessel_mmbtu))</f>
        <v/>
      </c>
      <c r="K34" s="120" t="str">
        <f aca="false">IF($G34=0,"",(+INDEX([1]!PORT_CHARGES,MATCH(source,[1]!PORTS,0),MATCH(vessel,[1]!PORT_CHARGE_SHIPS,0))/vessel_mmbtu))</f>
        <v/>
      </c>
      <c r="L34" s="120" t="str">
        <f aca="false">IF($G34=0,"",(+INDEX([1]!PORT_CHARGES,MATCH(destination,[1]!PORTS,0),MATCH(vessel,[1]!PORT_CHARGE_SHIPS,0))/vessel_mmbtu))</f>
        <v/>
      </c>
      <c r="M34" s="120" t="str">
        <f aca="false">IF($G34=0,"",IF(route_choice=1,INDEX([1]!PORT_CHARGES,MATCH(suez,[1]!PORTS,0),MATCH(vessel,[1]!PORT_CHARGE_SHIPS,0)),0)/vessel_mmbtu)</f>
        <v/>
      </c>
      <c r="N34" s="120" t="str">
        <f aca="false">+IF(G34=0,"",+HLOOKUP(vessel,[1]!other_cost,3,0))</f>
        <v/>
      </c>
      <c r="O34" s="121" t="str">
        <f aca="false">+IF(G34=0,"",SUM(H34:N34))</f>
        <v/>
      </c>
      <c r="P34" s="88"/>
      <c r="Q34" s="90"/>
    </row>
    <row r="35" customFormat="false" ht="12.75" hidden="false" customHeight="false" outlineLevel="0" collapsed="false">
      <c r="E35" s="117" t="n">
        <f aca="false">+DATE(YEAR(E34),MONTH(E34)+1,1)</f>
        <v>46692</v>
      </c>
      <c r="F35" s="118" t="e">
        <f aca="false">+VLOOKUP(E35,[1]!curvecalc,3,0)</f>
        <v>#N/A</v>
      </c>
      <c r="G35" s="119" t="n">
        <f aca="false">+IF(AND(startdate&lt;=E35,enddate&gt;=E35),1,0)</f>
        <v>0</v>
      </c>
      <c r="H35" s="120" t="str">
        <f aca="false">+IF($G35=0,"",(+VLOOKUP($E35,[1]!FIXED_CHARTER_COST,HLOOKUP(vessel_choice,[1]!FIXED_CHARTER_COST,2,0)+1,0)*roundtrip_days)/vessel_mmbtu)</f>
        <v/>
      </c>
      <c r="I35" s="120" t="str">
        <f aca="false">+IF($G35=0,"",(+VLOOKUP($E35,[1]!OM_CHARTER_COST,HLOOKUP(vessel_choice,[1]!OM_CHARTER_COST,2,0)+1,0)*roundtrip_days)/vessel_mmbtu)</f>
        <v/>
      </c>
      <c r="J35" s="120" t="str">
        <f aca="false">IF($G35=0,"",(INDEX([1]!bunker_cost,MATCH(route,[1]!bunker_cost_route,0),MATCH(vessel_choice,[1]!bunker_cost_ship,0))/vessel_mmbtu))</f>
        <v/>
      </c>
      <c r="K35" s="120" t="str">
        <f aca="false">IF($G35=0,"",(+INDEX([1]!PORT_CHARGES,MATCH(source,[1]!PORTS,0),MATCH(vessel,[1]!PORT_CHARGE_SHIPS,0))/vessel_mmbtu))</f>
        <v/>
      </c>
      <c r="L35" s="120" t="str">
        <f aca="false">IF($G35=0,"",(+INDEX([1]!PORT_CHARGES,MATCH(destination,[1]!PORTS,0),MATCH(vessel,[1]!PORT_CHARGE_SHIPS,0))/vessel_mmbtu))</f>
        <v/>
      </c>
      <c r="M35" s="120" t="str">
        <f aca="false">IF($G35=0,"",IF(route_choice=1,INDEX([1]!PORT_CHARGES,MATCH(suez,[1]!PORTS,0),MATCH(vessel,[1]!PORT_CHARGE_SHIPS,0)),0)/vessel_mmbtu)</f>
        <v/>
      </c>
      <c r="N35" s="120" t="str">
        <f aca="false">+IF(G35=0,"",+HLOOKUP(vessel,[1]!other_cost,3,0))</f>
        <v/>
      </c>
      <c r="O35" s="121" t="str">
        <f aca="false">+IF(G35=0,"",SUM(H35:N35))</f>
        <v/>
      </c>
      <c r="P35" s="88"/>
      <c r="Q35" s="90"/>
    </row>
    <row r="36" customFormat="false" ht="12.75" hidden="false" customHeight="false" outlineLevel="0" collapsed="false">
      <c r="E36" s="117" t="n">
        <f aca="false">+DATE(YEAR(E35),MONTH(E35)+1,1)</f>
        <v>46722</v>
      </c>
      <c r="F36" s="118" t="e">
        <f aca="false">+VLOOKUP(E36,[1]!curvecalc,3,0)</f>
        <v>#N/A</v>
      </c>
      <c r="G36" s="119" t="n">
        <f aca="false">+IF(AND(startdate&lt;=E36,enddate&gt;=E36),1,0)</f>
        <v>0</v>
      </c>
      <c r="H36" s="120" t="str">
        <f aca="false">+IF($G36=0,"",(+VLOOKUP($E36,[1]!FIXED_CHARTER_COST,HLOOKUP(vessel_choice,[1]!FIXED_CHARTER_COST,2,0)+1,0)*roundtrip_days)/vessel_mmbtu)</f>
        <v/>
      </c>
      <c r="I36" s="120" t="str">
        <f aca="false">+IF($G36=0,"",(+VLOOKUP($E36,[1]!OM_CHARTER_COST,HLOOKUP(vessel_choice,[1]!OM_CHARTER_COST,2,0)+1,0)*roundtrip_days)/vessel_mmbtu)</f>
        <v/>
      </c>
      <c r="J36" s="120" t="str">
        <f aca="false">IF($G36=0,"",(INDEX([1]!bunker_cost,MATCH(route,[1]!bunker_cost_route,0),MATCH(vessel_choice,[1]!bunker_cost_ship,0))/vessel_mmbtu))</f>
        <v/>
      </c>
      <c r="K36" s="120" t="str">
        <f aca="false">IF($G36=0,"",(+INDEX([1]!PORT_CHARGES,MATCH(source,[1]!PORTS,0),MATCH(vessel,[1]!PORT_CHARGE_SHIPS,0))/vessel_mmbtu))</f>
        <v/>
      </c>
      <c r="L36" s="120" t="str">
        <f aca="false">IF($G36=0,"",(+INDEX([1]!PORT_CHARGES,MATCH(destination,[1]!PORTS,0),MATCH(vessel,[1]!PORT_CHARGE_SHIPS,0))/vessel_mmbtu))</f>
        <v/>
      </c>
      <c r="M36" s="120" t="str">
        <f aca="false">IF($G36=0,"",IF(route_choice=1,INDEX([1]!PORT_CHARGES,MATCH(suez,[1]!PORTS,0),MATCH(vessel,[1]!PORT_CHARGE_SHIPS,0)),0)/vessel_mmbtu)</f>
        <v/>
      </c>
      <c r="N36" s="120" t="str">
        <f aca="false">+IF(G36=0,"",+HLOOKUP(vessel,[1]!other_cost,3,0))</f>
        <v/>
      </c>
      <c r="O36" s="121" t="str">
        <f aca="false">+IF(G36=0,"",SUM(H36:N36))</f>
        <v/>
      </c>
      <c r="P36" s="88"/>
      <c r="Q36" s="90"/>
    </row>
    <row r="37" customFormat="false" ht="12.75" hidden="false" customHeight="false" outlineLevel="0" collapsed="false">
      <c r="E37" s="117" t="n">
        <f aca="false">+DATE(YEAR(E36),MONTH(E36)+1,1)</f>
        <v>46753</v>
      </c>
      <c r="F37" s="118" t="e">
        <f aca="false">+VLOOKUP(E37,[1]!curvecalc,3,0)</f>
        <v>#N/A</v>
      </c>
      <c r="G37" s="119" t="n">
        <f aca="false">+IF(AND(startdate&lt;=E37,enddate&gt;=E37),1,0)</f>
        <v>0</v>
      </c>
      <c r="H37" s="120" t="str">
        <f aca="false">+IF($G37=0,"",(+VLOOKUP($E37,[1]!FIXED_CHARTER_COST,HLOOKUP(vessel_choice,[1]!FIXED_CHARTER_COST,2,0)+1,0)*roundtrip_days)/vessel_mmbtu)</f>
        <v/>
      </c>
      <c r="I37" s="120" t="str">
        <f aca="false">+IF($G37=0,"",(+VLOOKUP($E37,[1]!OM_CHARTER_COST,HLOOKUP(vessel_choice,[1]!OM_CHARTER_COST,2,0)+1,0)*roundtrip_days)/vessel_mmbtu)</f>
        <v/>
      </c>
      <c r="J37" s="120" t="str">
        <f aca="false">IF($G37=0,"",(INDEX([1]!bunker_cost,MATCH(route,[1]!bunker_cost_route,0),MATCH(vessel_choice,[1]!bunker_cost_ship,0))/vessel_mmbtu))</f>
        <v/>
      </c>
      <c r="K37" s="120" t="str">
        <f aca="false">IF($G37=0,"",(+INDEX([1]!PORT_CHARGES,MATCH(source,[1]!PORTS,0),MATCH(vessel,[1]!PORT_CHARGE_SHIPS,0))/vessel_mmbtu))</f>
        <v/>
      </c>
      <c r="L37" s="120" t="str">
        <f aca="false">IF($G37=0,"",(+INDEX([1]!PORT_CHARGES,MATCH(destination,[1]!PORTS,0),MATCH(vessel,[1]!PORT_CHARGE_SHIPS,0))/vessel_mmbtu))</f>
        <v/>
      </c>
      <c r="M37" s="120" t="str">
        <f aca="false">IF($G37=0,"",IF(route_choice=1,INDEX([1]!PORT_CHARGES,MATCH(suez,[1]!PORTS,0),MATCH(vessel,[1]!PORT_CHARGE_SHIPS,0)),0)/vessel_mmbtu)</f>
        <v/>
      </c>
      <c r="N37" s="120" t="str">
        <f aca="false">+IF(G37=0,"",+HLOOKUP(vessel,[1]!other_cost,3,0))</f>
        <v/>
      </c>
      <c r="O37" s="121" t="str">
        <f aca="false">+IF(G37=0,"",SUM(H37:N37))</f>
        <v/>
      </c>
      <c r="P37" s="88"/>
      <c r="Q37" s="90"/>
    </row>
    <row r="38" customFormat="false" ht="12.75" hidden="false" customHeight="false" outlineLevel="0" collapsed="false">
      <c r="E38" s="117" t="n">
        <f aca="false">+DATE(YEAR(E37),MONTH(E37)+1,1)</f>
        <v>46784</v>
      </c>
      <c r="F38" s="118" t="e">
        <f aca="false">+VLOOKUP(E38,[1]!curvecalc,3,0)</f>
        <v>#N/A</v>
      </c>
      <c r="G38" s="119" t="n">
        <f aca="false">+IF(AND(startdate&lt;=E38,enddate&gt;=E38),1,0)</f>
        <v>0</v>
      </c>
      <c r="H38" s="120" t="str">
        <f aca="false">+IF($G38=0,"",(+VLOOKUP($E38,[1]!FIXED_CHARTER_COST,HLOOKUP(vessel_choice,[1]!FIXED_CHARTER_COST,2,0)+1,0)*roundtrip_days)/vessel_mmbtu)</f>
        <v/>
      </c>
      <c r="I38" s="120" t="str">
        <f aca="false">+IF($G38=0,"",(+VLOOKUP($E38,[1]!OM_CHARTER_COST,HLOOKUP(vessel_choice,[1]!OM_CHARTER_COST,2,0)+1,0)*roundtrip_days)/vessel_mmbtu)</f>
        <v/>
      </c>
      <c r="J38" s="120" t="str">
        <f aca="false">IF($G38=0,"",(INDEX([1]!bunker_cost,MATCH(route,[1]!bunker_cost_route,0),MATCH(vessel_choice,[1]!bunker_cost_ship,0))/vessel_mmbtu))</f>
        <v/>
      </c>
      <c r="K38" s="120" t="str">
        <f aca="false">IF($G38=0,"",(+INDEX([1]!PORT_CHARGES,MATCH(source,[1]!PORTS,0),MATCH(vessel,[1]!PORT_CHARGE_SHIPS,0))/vessel_mmbtu))</f>
        <v/>
      </c>
      <c r="L38" s="120" t="str">
        <f aca="false">IF($G38=0,"",(+INDEX([1]!PORT_CHARGES,MATCH(destination,[1]!PORTS,0),MATCH(vessel,[1]!PORT_CHARGE_SHIPS,0))/vessel_mmbtu))</f>
        <v/>
      </c>
      <c r="M38" s="120" t="str">
        <f aca="false">IF($G38=0,"",IF(route_choice=1,INDEX([1]!PORT_CHARGES,MATCH(suez,[1]!PORTS,0),MATCH(vessel,[1]!PORT_CHARGE_SHIPS,0)),0)/vessel_mmbtu)</f>
        <v/>
      </c>
      <c r="N38" s="120" t="str">
        <f aca="false">+IF(G38=0,"",+HLOOKUP(vessel,[1]!other_cost,3,0))</f>
        <v/>
      </c>
      <c r="O38" s="121" t="str">
        <f aca="false">+IF(G38=0,"",SUM(H38:N38))</f>
        <v/>
      </c>
      <c r="P38" s="88"/>
      <c r="Q38" s="90"/>
    </row>
    <row r="39" customFormat="false" ht="12.75" hidden="false" customHeight="false" outlineLevel="0" collapsed="false">
      <c r="E39" s="117" t="n">
        <f aca="false">+DATE(YEAR(E38),MONTH(E38)+1,1)</f>
        <v>46813</v>
      </c>
      <c r="F39" s="118" t="e">
        <f aca="false">+VLOOKUP(E39,[1]!curvecalc,3,0)</f>
        <v>#N/A</v>
      </c>
      <c r="G39" s="119" t="n">
        <f aca="false">+IF(AND(startdate&lt;=E39,enddate&gt;=E39),1,0)</f>
        <v>0</v>
      </c>
      <c r="H39" s="120" t="str">
        <f aca="false">+IF($G39=0,"",(+VLOOKUP($E39,[1]!FIXED_CHARTER_COST,HLOOKUP(vessel_choice,[1]!FIXED_CHARTER_COST,2,0)+1,0)*roundtrip_days)/vessel_mmbtu)</f>
        <v/>
      </c>
      <c r="I39" s="120" t="str">
        <f aca="false">+IF($G39=0,"",(+VLOOKUP($E39,[1]!OM_CHARTER_COST,HLOOKUP(vessel_choice,[1]!OM_CHARTER_COST,2,0)+1,0)*roundtrip_days)/vessel_mmbtu)</f>
        <v/>
      </c>
      <c r="J39" s="120" t="str">
        <f aca="false">IF($G39=0,"",(INDEX([1]!bunker_cost,MATCH(route,[1]!bunker_cost_route,0),MATCH(vessel_choice,[1]!bunker_cost_ship,0))/vessel_mmbtu))</f>
        <v/>
      </c>
      <c r="K39" s="120" t="str">
        <f aca="false">IF($G39=0,"",(+INDEX([1]!PORT_CHARGES,MATCH(source,[1]!PORTS,0),MATCH(vessel,[1]!PORT_CHARGE_SHIPS,0))/vessel_mmbtu))</f>
        <v/>
      </c>
      <c r="L39" s="120" t="str">
        <f aca="false">IF($G39=0,"",(+INDEX([1]!PORT_CHARGES,MATCH(destination,[1]!PORTS,0),MATCH(vessel,[1]!PORT_CHARGE_SHIPS,0))/vessel_mmbtu))</f>
        <v/>
      </c>
      <c r="M39" s="120" t="str">
        <f aca="false">IF($G39=0,"",IF(route_choice=1,INDEX([1]!PORT_CHARGES,MATCH(suez,[1]!PORTS,0),MATCH(vessel,[1]!PORT_CHARGE_SHIPS,0)),0)/vessel_mmbtu)</f>
        <v/>
      </c>
      <c r="N39" s="120" t="str">
        <f aca="false">+IF(G39=0,"",+HLOOKUP(vessel,[1]!other_cost,3,0))</f>
        <v/>
      </c>
      <c r="O39" s="121" t="str">
        <f aca="false">+IF(G39=0,"",SUM(H39:N39))</f>
        <v/>
      </c>
      <c r="P39" s="88"/>
      <c r="Q39" s="90"/>
    </row>
    <row r="40" customFormat="false" ht="12.75" hidden="false" customHeight="false" outlineLevel="0" collapsed="false">
      <c r="E40" s="117" t="n">
        <f aca="false">+DATE(YEAR(E39),MONTH(E39)+1,1)</f>
        <v>46844</v>
      </c>
      <c r="F40" s="118" t="e">
        <f aca="false">+VLOOKUP(E40,[1]!curvecalc,3,0)</f>
        <v>#N/A</v>
      </c>
      <c r="G40" s="119" t="n">
        <f aca="false">+IF(AND(startdate&lt;=E40,enddate&gt;=E40),1,0)</f>
        <v>0</v>
      </c>
      <c r="H40" s="120" t="str">
        <f aca="false">+IF($G40=0,"",(+VLOOKUP($E40,[1]!FIXED_CHARTER_COST,HLOOKUP(vessel_choice,[1]!FIXED_CHARTER_COST,2,0)+1,0)*roundtrip_days)/vessel_mmbtu)</f>
        <v/>
      </c>
      <c r="I40" s="120" t="str">
        <f aca="false">+IF($G40=0,"",(+VLOOKUP($E40,[1]!OM_CHARTER_COST,HLOOKUP(vessel_choice,[1]!OM_CHARTER_COST,2,0)+1,0)*roundtrip_days)/vessel_mmbtu)</f>
        <v/>
      </c>
      <c r="J40" s="120" t="str">
        <f aca="false">IF($G40=0,"",(INDEX([1]!bunker_cost,MATCH(route,[1]!bunker_cost_route,0),MATCH(vessel_choice,[1]!bunker_cost_ship,0))/vessel_mmbtu))</f>
        <v/>
      </c>
      <c r="K40" s="120" t="str">
        <f aca="false">IF($G40=0,"",(+INDEX([1]!PORT_CHARGES,MATCH(source,[1]!PORTS,0),MATCH(vessel,[1]!PORT_CHARGE_SHIPS,0))/vessel_mmbtu))</f>
        <v/>
      </c>
      <c r="L40" s="120" t="str">
        <f aca="false">IF($G40=0,"",(+INDEX([1]!PORT_CHARGES,MATCH(destination,[1]!PORTS,0),MATCH(vessel,[1]!PORT_CHARGE_SHIPS,0))/vessel_mmbtu))</f>
        <v/>
      </c>
      <c r="M40" s="120" t="str">
        <f aca="false">IF($G40=0,"",IF(route_choice=1,INDEX([1]!PORT_CHARGES,MATCH(suez,[1]!PORTS,0),MATCH(vessel,[1]!PORT_CHARGE_SHIPS,0)),0)/vessel_mmbtu)</f>
        <v/>
      </c>
      <c r="N40" s="120" t="str">
        <f aca="false">+IF(G40=0,"",+HLOOKUP(vessel,[1]!other_cost,3,0))</f>
        <v/>
      </c>
      <c r="O40" s="121" t="str">
        <f aca="false">+IF(G40=0,"",SUM(H40:N40))</f>
        <v/>
      </c>
      <c r="P40" s="88"/>
      <c r="Q40" s="90"/>
    </row>
    <row r="41" customFormat="false" ht="12.75" hidden="false" customHeight="false" outlineLevel="0" collapsed="false">
      <c r="E41" s="117" t="n">
        <f aca="false">+DATE(YEAR(E40),MONTH(E40)+1,1)</f>
        <v>46874</v>
      </c>
      <c r="F41" s="118" t="e">
        <f aca="false">+VLOOKUP(E41,[1]!curvecalc,3,0)</f>
        <v>#N/A</v>
      </c>
      <c r="G41" s="119" t="n">
        <f aca="false">+IF(AND(startdate&lt;=E41,enddate&gt;=E41),1,0)</f>
        <v>0</v>
      </c>
      <c r="H41" s="120" t="str">
        <f aca="false">+IF($G41=0,"",(+VLOOKUP($E41,[1]!FIXED_CHARTER_COST,HLOOKUP(vessel_choice,[1]!FIXED_CHARTER_COST,2,0)+1,0)*roundtrip_days)/vessel_mmbtu)</f>
        <v/>
      </c>
      <c r="I41" s="120" t="str">
        <f aca="false">+IF($G41=0,"",(+VLOOKUP($E41,[1]!OM_CHARTER_COST,HLOOKUP(vessel_choice,[1]!OM_CHARTER_COST,2,0)+1,0)*roundtrip_days)/vessel_mmbtu)</f>
        <v/>
      </c>
      <c r="J41" s="120" t="str">
        <f aca="false">IF($G41=0,"",(INDEX([1]!bunker_cost,MATCH(route,[1]!bunker_cost_route,0),MATCH(vessel_choice,[1]!bunker_cost_ship,0))/vessel_mmbtu))</f>
        <v/>
      </c>
      <c r="K41" s="120" t="str">
        <f aca="false">IF($G41=0,"",(+INDEX([1]!PORT_CHARGES,MATCH(source,[1]!PORTS,0),MATCH(vessel,[1]!PORT_CHARGE_SHIPS,0))/vessel_mmbtu))</f>
        <v/>
      </c>
      <c r="L41" s="120" t="str">
        <f aca="false">IF($G41=0,"",(+INDEX([1]!PORT_CHARGES,MATCH(destination,[1]!PORTS,0),MATCH(vessel,[1]!PORT_CHARGE_SHIPS,0))/vessel_mmbtu))</f>
        <v/>
      </c>
      <c r="M41" s="120" t="str">
        <f aca="false">IF($G41=0,"",IF(route_choice=1,INDEX([1]!PORT_CHARGES,MATCH(suez,[1]!PORTS,0),MATCH(vessel,[1]!PORT_CHARGE_SHIPS,0)),0)/vessel_mmbtu)</f>
        <v/>
      </c>
      <c r="N41" s="120" t="str">
        <f aca="false">+IF(G41=0,"",+HLOOKUP(vessel,[1]!other_cost,3,0))</f>
        <v/>
      </c>
      <c r="O41" s="121" t="str">
        <f aca="false">+IF(G41=0,"",SUM(H41:N41))</f>
        <v/>
      </c>
      <c r="P41" s="88"/>
      <c r="Q41" s="90"/>
    </row>
    <row r="42" customFormat="false" ht="12.75" hidden="false" customHeight="false" outlineLevel="0" collapsed="false">
      <c r="E42" s="117" t="n">
        <f aca="false">+DATE(YEAR(E41),MONTH(E41)+1,1)</f>
        <v>46905</v>
      </c>
      <c r="F42" s="118" t="e">
        <f aca="false">+VLOOKUP(E42,[1]!curvecalc,3,0)</f>
        <v>#N/A</v>
      </c>
      <c r="G42" s="119" t="n">
        <f aca="false">+IF(AND(startdate&lt;=E42,enddate&gt;=E42),1,0)</f>
        <v>0</v>
      </c>
      <c r="H42" s="120" t="str">
        <f aca="false">+IF($G42=0,"",(+VLOOKUP($E42,[1]!FIXED_CHARTER_COST,HLOOKUP(vessel_choice,[1]!FIXED_CHARTER_COST,2,0)+1,0)*roundtrip_days)/vessel_mmbtu)</f>
        <v/>
      </c>
      <c r="I42" s="120" t="str">
        <f aca="false">+IF($G42=0,"",(+VLOOKUP($E42,[1]!OM_CHARTER_COST,HLOOKUP(vessel_choice,[1]!OM_CHARTER_COST,2,0)+1,0)*roundtrip_days)/vessel_mmbtu)</f>
        <v/>
      </c>
      <c r="J42" s="120" t="str">
        <f aca="false">IF($G42=0,"",(INDEX([1]!bunker_cost,MATCH(route,[1]!bunker_cost_route,0),MATCH(vessel_choice,[1]!bunker_cost_ship,0))/vessel_mmbtu))</f>
        <v/>
      </c>
      <c r="K42" s="120" t="str">
        <f aca="false">IF($G42=0,"",(+INDEX([1]!PORT_CHARGES,MATCH(source,[1]!PORTS,0),MATCH(vessel,[1]!PORT_CHARGE_SHIPS,0))/vessel_mmbtu))</f>
        <v/>
      </c>
      <c r="L42" s="120" t="str">
        <f aca="false">IF($G42=0,"",(+INDEX([1]!PORT_CHARGES,MATCH(destination,[1]!PORTS,0),MATCH(vessel,[1]!PORT_CHARGE_SHIPS,0))/vessel_mmbtu))</f>
        <v/>
      </c>
      <c r="M42" s="120" t="str">
        <f aca="false">IF($G42=0,"",IF(route_choice=1,INDEX([1]!PORT_CHARGES,MATCH(suez,[1]!PORTS,0),MATCH(vessel,[1]!PORT_CHARGE_SHIPS,0)),0)/vessel_mmbtu)</f>
        <v/>
      </c>
      <c r="N42" s="120" t="str">
        <f aca="false">+IF(G42=0,"",+HLOOKUP(vessel,[1]!other_cost,3,0))</f>
        <v/>
      </c>
      <c r="O42" s="121" t="str">
        <f aca="false">+IF(G42=0,"",SUM(H42:N42))</f>
        <v/>
      </c>
      <c r="P42" s="88"/>
      <c r="Q42" s="90"/>
    </row>
    <row r="43" customFormat="false" ht="12.75" hidden="false" customHeight="false" outlineLevel="0" collapsed="false">
      <c r="E43" s="117" t="n">
        <f aca="false">+DATE(YEAR(E42),MONTH(E42)+1,1)</f>
        <v>46935</v>
      </c>
      <c r="F43" s="118" t="e">
        <f aca="false">+VLOOKUP(E43,[1]!curvecalc,3,0)</f>
        <v>#N/A</v>
      </c>
      <c r="G43" s="119" t="n">
        <f aca="false">+IF(AND(startdate&lt;=E43,enddate&gt;=E43),1,0)</f>
        <v>0</v>
      </c>
      <c r="H43" s="120" t="str">
        <f aca="false">+IF($G43=0,"",(+VLOOKUP($E43,[1]!FIXED_CHARTER_COST,HLOOKUP(vessel_choice,[1]!FIXED_CHARTER_COST,2,0)+1,0)*roundtrip_days)/vessel_mmbtu)</f>
        <v/>
      </c>
      <c r="I43" s="120" t="str">
        <f aca="false">+IF($G43=0,"",(+VLOOKUP($E43,[1]!OM_CHARTER_COST,HLOOKUP(vessel_choice,[1]!OM_CHARTER_COST,2,0)+1,0)*roundtrip_days)/vessel_mmbtu)</f>
        <v/>
      </c>
      <c r="J43" s="120" t="str">
        <f aca="false">IF($G43=0,"",(INDEX([1]!bunker_cost,MATCH(route,[1]!bunker_cost_route,0),MATCH(vessel_choice,[1]!bunker_cost_ship,0))/vessel_mmbtu))</f>
        <v/>
      </c>
      <c r="K43" s="120" t="str">
        <f aca="false">IF($G43=0,"",(+INDEX([1]!PORT_CHARGES,MATCH(source,[1]!PORTS,0),MATCH(vessel,[1]!PORT_CHARGE_SHIPS,0))/vessel_mmbtu))</f>
        <v/>
      </c>
      <c r="L43" s="120" t="str">
        <f aca="false">IF($G43=0,"",(+INDEX([1]!PORT_CHARGES,MATCH(destination,[1]!PORTS,0),MATCH(vessel,[1]!PORT_CHARGE_SHIPS,0))/vessel_mmbtu))</f>
        <v/>
      </c>
      <c r="M43" s="120" t="str">
        <f aca="false">IF($G43=0,"",IF(route_choice=1,INDEX([1]!PORT_CHARGES,MATCH(suez,[1]!PORTS,0),MATCH(vessel,[1]!PORT_CHARGE_SHIPS,0)),0)/vessel_mmbtu)</f>
        <v/>
      </c>
      <c r="N43" s="120" t="str">
        <f aca="false">+IF(G43=0,"",+HLOOKUP(vessel,[1]!other_cost,3,0))</f>
        <v/>
      </c>
      <c r="O43" s="121" t="str">
        <f aca="false">+IF(G43=0,"",SUM(H43:N43))</f>
        <v/>
      </c>
      <c r="P43" s="88"/>
      <c r="Q43" s="90"/>
    </row>
    <row r="44" customFormat="false" ht="12.75" hidden="false" customHeight="false" outlineLevel="0" collapsed="false">
      <c r="E44" s="117" t="n">
        <f aca="false">+DATE(YEAR(E43),MONTH(E43)+1,1)</f>
        <v>46966</v>
      </c>
      <c r="F44" s="118" t="e">
        <f aca="false">+VLOOKUP(E44,[1]!curvecalc,3,0)</f>
        <v>#N/A</v>
      </c>
      <c r="G44" s="119" t="n">
        <f aca="false">+IF(AND(startdate&lt;=E44,enddate&gt;=E44),1,0)</f>
        <v>0</v>
      </c>
      <c r="H44" s="120" t="str">
        <f aca="false">+IF($G44=0,"",(+VLOOKUP($E44,[1]!FIXED_CHARTER_COST,HLOOKUP(vessel_choice,[1]!FIXED_CHARTER_COST,2,0)+1,0)*roundtrip_days)/vessel_mmbtu)</f>
        <v/>
      </c>
      <c r="I44" s="120" t="str">
        <f aca="false">+IF($G44=0,"",(+VLOOKUP($E44,[1]!OM_CHARTER_COST,HLOOKUP(vessel_choice,[1]!OM_CHARTER_COST,2,0)+1,0)*roundtrip_days)/vessel_mmbtu)</f>
        <v/>
      </c>
      <c r="J44" s="120" t="str">
        <f aca="false">IF($G44=0,"",(INDEX([1]!bunker_cost,MATCH(route,[1]!bunker_cost_route,0),MATCH(vessel_choice,[1]!bunker_cost_ship,0))/vessel_mmbtu))</f>
        <v/>
      </c>
      <c r="K44" s="120" t="str">
        <f aca="false">IF($G44=0,"",(+INDEX([1]!PORT_CHARGES,MATCH(source,[1]!PORTS,0),MATCH(vessel,[1]!PORT_CHARGE_SHIPS,0))/vessel_mmbtu))</f>
        <v/>
      </c>
      <c r="L44" s="120" t="str">
        <f aca="false">IF($G44=0,"",(+INDEX([1]!PORT_CHARGES,MATCH(destination,[1]!PORTS,0),MATCH(vessel,[1]!PORT_CHARGE_SHIPS,0))/vessel_mmbtu))</f>
        <v/>
      </c>
      <c r="M44" s="120" t="str">
        <f aca="false">IF($G44=0,"",IF(route_choice=1,INDEX([1]!PORT_CHARGES,MATCH(suez,[1]!PORTS,0),MATCH(vessel,[1]!PORT_CHARGE_SHIPS,0)),0)/vessel_mmbtu)</f>
        <v/>
      </c>
      <c r="N44" s="120" t="str">
        <f aca="false">+IF(G44=0,"",+HLOOKUP(vessel,[1]!other_cost,3,0))</f>
        <v/>
      </c>
      <c r="O44" s="121" t="str">
        <f aca="false">+IF(G44=0,"",SUM(H44:N44))</f>
        <v/>
      </c>
      <c r="P44" s="88"/>
      <c r="Q44" s="90"/>
    </row>
    <row r="45" customFormat="false" ht="12.75" hidden="false" customHeight="false" outlineLevel="0" collapsed="false">
      <c r="E45" s="117" t="n">
        <f aca="false">+DATE(YEAR(E44),MONTH(E44)+1,1)</f>
        <v>46997</v>
      </c>
      <c r="F45" s="118" t="e">
        <f aca="false">+VLOOKUP(E45,[1]!curvecalc,3,0)</f>
        <v>#N/A</v>
      </c>
      <c r="G45" s="119" t="n">
        <f aca="false">+IF(AND(startdate&lt;=E45,enddate&gt;=E45),1,0)</f>
        <v>0</v>
      </c>
      <c r="H45" s="120" t="str">
        <f aca="false">+IF($G45=0,"",(+VLOOKUP($E45,[1]!FIXED_CHARTER_COST,HLOOKUP(vessel_choice,[1]!FIXED_CHARTER_COST,2,0)+1,0)*roundtrip_days)/vessel_mmbtu)</f>
        <v/>
      </c>
      <c r="I45" s="120" t="str">
        <f aca="false">+IF($G45=0,"",(+VLOOKUP($E45,[1]!OM_CHARTER_COST,HLOOKUP(vessel_choice,[1]!OM_CHARTER_COST,2,0)+1,0)*roundtrip_days)/vessel_mmbtu)</f>
        <v/>
      </c>
      <c r="J45" s="120" t="str">
        <f aca="false">IF($G45=0,"",(INDEX([1]!bunker_cost,MATCH(route,[1]!bunker_cost_route,0),MATCH(vessel_choice,[1]!bunker_cost_ship,0))/vessel_mmbtu))</f>
        <v/>
      </c>
      <c r="K45" s="120" t="str">
        <f aca="false">IF($G45=0,"",(+INDEX([1]!PORT_CHARGES,MATCH(source,[1]!PORTS,0),MATCH(vessel,[1]!PORT_CHARGE_SHIPS,0))/vessel_mmbtu))</f>
        <v/>
      </c>
      <c r="L45" s="120" t="str">
        <f aca="false">IF($G45=0,"",(+INDEX([1]!PORT_CHARGES,MATCH(destination,[1]!PORTS,0),MATCH(vessel,[1]!PORT_CHARGE_SHIPS,0))/vessel_mmbtu))</f>
        <v/>
      </c>
      <c r="M45" s="120" t="str">
        <f aca="false">IF($G45=0,"",IF(route_choice=1,INDEX([1]!PORT_CHARGES,MATCH(suez,[1]!PORTS,0),MATCH(vessel,[1]!PORT_CHARGE_SHIPS,0)),0)/vessel_mmbtu)</f>
        <v/>
      </c>
      <c r="N45" s="120" t="str">
        <f aca="false">+IF(G45=0,"",+HLOOKUP(vessel,[1]!other_cost,3,0))</f>
        <v/>
      </c>
      <c r="O45" s="121" t="str">
        <f aca="false">+IF(G45=0,"",SUM(H45:N45))</f>
        <v/>
      </c>
      <c r="P45" s="88"/>
      <c r="Q45" s="90"/>
    </row>
    <row r="46" customFormat="false" ht="12.75" hidden="false" customHeight="false" outlineLevel="0" collapsed="false">
      <c r="E46" s="117" t="n">
        <f aca="false">+DATE(YEAR(E45),MONTH(E45)+1,1)</f>
        <v>47027</v>
      </c>
      <c r="F46" s="118" t="e">
        <f aca="false">+VLOOKUP(E46,[1]!curvecalc,3,0)</f>
        <v>#N/A</v>
      </c>
      <c r="G46" s="119" t="n">
        <f aca="false">+IF(AND(startdate&lt;=E46,enddate&gt;=E46),1,0)</f>
        <v>0</v>
      </c>
      <c r="H46" s="120" t="str">
        <f aca="false">+IF($G46=0,"",(+VLOOKUP($E46,[1]!FIXED_CHARTER_COST,HLOOKUP(vessel_choice,[1]!FIXED_CHARTER_COST,2,0)+1,0)*roundtrip_days)/vessel_mmbtu)</f>
        <v/>
      </c>
      <c r="I46" s="120" t="str">
        <f aca="false">+IF($G46=0,"",(+VLOOKUP($E46,[1]!OM_CHARTER_COST,HLOOKUP(vessel_choice,[1]!OM_CHARTER_COST,2,0)+1,0)*roundtrip_days)/vessel_mmbtu)</f>
        <v/>
      </c>
      <c r="J46" s="120" t="str">
        <f aca="false">IF($G46=0,"",(INDEX([1]!bunker_cost,MATCH(route,[1]!bunker_cost_route,0),MATCH(vessel_choice,[1]!bunker_cost_ship,0))/vessel_mmbtu))</f>
        <v/>
      </c>
      <c r="K46" s="120" t="str">
        <f aca="false">IF($G46=0,"",(+INDEX([1]!PORT_CHARGES,MATCH(source,[1]!PORTS,0),MATCH(vessel,[1]!PORT_CHARGE_SHIPS,0))/vessel_mmbtu))</f>
        <v/>
      </c>
      <c r="L46" s="120" t="str">
        <f aca="false">IF($G46=0,"",(+INDEX([1]!PORT_CHARGES,MATCH(destination,[1]!PORTS,0),MATCH(vessel,[1]!PORT_CHARGE_SHIPS,0))/vessel_mmbtu))</f>
        <v/>
      </c>
      <c r="M46" s="120" t="str">
        <f aca="false">IF($G46=0,"",IF(route_choice=1,INDEX([1]!PORT_CHARGES,MATCH(suez,[1]!PORTS,0),MATCH(vessel,[1]!PORT_CHARGE_SHIPS,0)),0)/vessel_mmbtu)</f>
        <v/>
      </c>
      <c r="N46" s="120" t="str">
        <f aca="false">+IF(G46=0,"",+HLOOKUP(vessel,[1]!other_cost,3,0))</f>
        <v/>
      </c>
      <c r="O46" s="121" t="str">
        <f aca="false">+IF(G46=0,"",SUM(H46:N46))</f>
        <v/>
      </c>
      <c r="P46" s="88"/>
      <c r="Q46" s="90"/>
    </row>
    <row r="47" customFormat="false" ht="12.75" hidden="false" customHeight="false" outlineLevel="0" collapsed="false">
      <c r="E47" s="117" t="n">
        <f aca="false">+DATE(YEAR(E46),MONTH(E46)+1,1)</f>
        <v>47058</v>
      </c>
      <c r="F47" s="118" t="e">
        <f aca="false">+VLOOKUP(E47,[1]!curvecalc,3,0)</f>
        <v>#N/A</v>
      </c>
      <c r="G47" s="119" t="n">
        <f aca="false">+IF(AND(startdate&lt;=E47,enddate&gt;=E47),1,0)</f>
        <v>0</v>
      </c>
      <c r="H47" s="120" t="str">
        <f aca="false">+IF($G47=0,"",(+VLOOKUP($E47,[1]!FIXED_CHARTER_COST,HLOOKUP(vessel_choice,[1]!FIXED_CHARTER_COST,2,0)+1,0)*roundtrip_days)/vessel_mmbtu)</f>
        <v/>
      </c>
      <c r="I47" s="120" t="str">
        <f aca="false">+IF($G47=0,"",(+VLOOKUP($E47,[1]!OM_CHARTER_COST,HLOOKUP(vessel_choice,[1]!OM_CHARTER_COST,2,0)+1,0)*roundtrip_days)/vessel_mmbtu)</f>
        <v/>
      </c>
      <c r="J47" s="120" t="str">
        <f aca="false">IF($G47=0,"",(INDEX([1]!bunker_cost,MATCH(route,[1]!bunker_cost_route,0),MATCH(vessel_choice,[1]!bunker_cost_ship,0))/vessel_mmbtu))</f>
        <v/>
      </c>
      <c r="K47" s="120" t="str">
        <f aca="false">IF($G47=0,"",(+INDEX([1]!PORT_CHARGES,MATCH(source,[1]!PORTS,0),MATCH(vessel,[1]!PORT_CHARGE_SHIPS,0))/vessel_mmbtu))</f>
        <v/>
      </c>
      <c r="L47" s="120" t="str">
        <f aca="false">IF($G47=0,"",(+INDEX([1]!PORT_CHARGES,MATCH(destination,[1]!PORTS,0),MATCH(vessel,[1]!PORT_CHARGE_SHIPS,0))/vessel_mmbtu))</f>
        <v/>
      </c>
      <c r="M47" s="120" t="str">
        <f aca="false">IF($G47=0,"",IF(route_choice=1,INDEX([1]!PORT_CHARGES,MATCH(suez,[1]!PORTS,0),MATCH(vessel,[1]!PORT_CHARGE_SHIPS,0)),0)/vessel_mmbtu)</f>
        <v/>
      </c>
      <c r="N47" s="120" t="str">
        <f aca="false">+IF(G47=0,"",+HLOOKUP(vessel,[1]!other_cost,3,0))</f>
        <v/>
      </c>
      <c r="O47" s="121" t="str">
        <f aca="false">+IF(G47=0,"",SUM(H47:N47))</f>
        <v/>
      </c>
      <c r="P47" s="88"/>
      <c r="Q47" s="90"/>
    </row>
    <row r="48" customFormat="false" ht="12.75" hidden="false" customHeight="false" outlineLevel="0" collapsed="false">
      <c r="E48" s="117" t="n">
        <f aca="false">+DATE(YEAR(E47),MONTH(E47)+1,1)</f>
        <v>47088</v>
      </c>
      <c r="F48" s="118" t="e">
        <f aca="false">+VLOOKUP(E48,[1]!curvecalc,3,0)</f>
        <v>#N/A</v>
      </c>
      <c r="G48" s="119" t="n">
        <f aca="false">+IF(AND(startdate&lt;=E48,enddate&gt;=E48),1,0)</f>
        <v>0</v>
      </c>
      <c r="H48" s="120" t="str">
        <f aca="false">+IF($G48=0,"",(+VLOOKUP($E48,[1]!FIXED_CHARTER_COST,HLOOKUP(vessel_choice,[1]!FIXED_CHARTER_COST,2,0)+1,0)*roundtrip_days)/vessel_mmbtu)</f>
        <v/>
      </c>
      <c r="I48" s="120" t="str">
        <f aca="false">+IF($G48=0,"",(+VLOOKUP($E48,[1]!OM_CHARTER_COST,HLOOKUP(vessel_choice,[1]!OM_CHARTER_COST,2,0)+1,0)*roundtrip_days)/vessel_mmbtu)</f>
        <v/>
      </c>
      <c r="J48" s="120" t="str">
        <f aca="false">IF($G48=0,"",(INDEX([1]!bunker_cost,MATCH(route,[1]!bunker_cost_route,0),MATCH(vessel_choice,[1]!bunker_cost_ship,0))/vessel_mmbtu))</f>
        <v/>
      </c>
      <c r="K48" s="120" t="str">
        <f aca="false">IF($G48=0,"",(+INDEX([1]!PORT_CHARGES,MATCH(source,[1]!PORTS,0),MATCH(vessel,[1]!PORT_CHARGE_SHIPS,0))/vessel_mmbtu))</f>
        <v/>
      </c>
      <c r="L48" s="120" t="str">
        <f aca="false">IF($G48=0,"",(+INDEX([1]!PORT_CHARGES,MATCH(destination,[1]!PORTS,0),MATCH(vessel,[1]!PORT_CHARGE_SHIPS,0))/vessel_mmbtu))</f>
        <v/>
      </c>
      <c r="M48" s="120" t="str">
        <f aca="false">IF($G48=0,"",IF(route_choice=1,INDEX([1]!PORT_CHARGES,MATCH(suez,[1]!PORTS,0),MATCH(vessel,[1]!PORT_CHARGE_SHIPS,0)),0)/vessel_mmbtu)</f>
        <v/>
      </c>
      <c r="N48" s="120" t="str">
        <f aca="false">+IF(G48=0,"",+HLOOKUP(vessel,[1]!other_cost,3,0))</f>
        <v/>
      </c>
      <c r="O48" s="121" t="str">
        <f aca="false">+IF(G48=0,"",SUM(H48:N48))</f>
        <v/>
      </c>
      <c r="P48" s="88"/>
      <c r="Q48" s="90"/>
    </row>
    <row r="49" customFormat="false" ht="12.75" hidden="false" customHeight="false" outlineLevel="0" collapsed="false">
      <c r="E49" s="117" t="n">
        <f aca="false">+DATE(YEAR(E48),MONTH(E48)+1,1)</f>
        <v>47119</v>
      </c>
      <c r="F49" s="118" t="e">
        <f aca="false">+VLOOKUP(E49,[1]!curvecalc,3,0)</f>
        <v>#N/A</v>
      </c>
      <c r="G49" s="119" t="n">
        <f aca="false">+IF(AND(startdate&lt;=E49,enddate&gt;=E49),1,0)</f>
        <v>0</v>
      </c>
      <c r="H49" s="120" t="str">
        <f aca="false">+IF($G49=0,"",(+VLOOKUP($E49,[1]!FIXED_CHARTER_COST,HLOOKUP(vessel_choice,[1]!FIXED_CHARTER_COST,2,0)+1,0)*roundtrip_days)/vessel_mmbtu)</f>
        <v/>
      </c>
      <c r="I49" s="120" t="str">
        <f aca="false">+IF($G49=0,"",(+VLOOKUP($E49,[1]!OM_CHARTER_COST,HLOOKUP(vessel_choice,[1]!OM_CHARTER_COST,2,0)+1,0)*roundtrip_days)/vessel_mmbtu)</f>
        <v/>
      </c>
      <c r="J49" s="120" t="str">
        <f aca="false">IF($G49=0,"",(INDEX([1]!bunker_cost,MATCH(route,[1]!bunker_cost_route,0),MATCH(vessel_choice,[1]!bunker_cost_ship,0))/vessel_mmbtu))</f>
        <v/>
      </c>
      <c r="K49" s="120" t="str">
        <f aca="false">IF($G49=0,"",(+INDEX([1]!PORT_CHARGES,MATCH(source,[1]!PORTS,0),MATCH(vessel,[1]!PORT_CHARGE_SHIPS,0))/vessel_mmbtu))</f>
        <v/>
      </c>
      <c r="L49" s="120" t="str">
        <f aca="false">IF($G49=0,"",(+INDEX([1]!PORT_CHARGES,MATCH(destination,[1]!PORTS,0),MATCH(vessel,[1]!PORT_CHARGE_SHIPS,0))/vessel_mmbtu))</f>
        <v/>
      </c>
      <c r="M49" s="120" t="str">
        <f aca="false">IF($G49=0,"",IF(route_choice=1,INDEX([1]!PORT_CHARGES,MATCH(suez,[1]!PORTS,0),MATCH(vessel,[1]!PORT_CHARGE_SHIPS,0)),0)/vessel_mmbtu)</f>
        <v/>
      </c>
      <c r="N49" s="120" t="str">
        <f aca="false">+IF(G49=0,"",+HLOOKUP(vessel,[1]!other_cost,3,0))</f>
        <v/>
      </c>
      <c r="O49" s="121" t="str">
        <f aca="false">+IF(G49=0,"",SUM(H49:N49))</f>
        <v/>
      </c>
      <c r="P49" s="88"/>
      <c r="Q49" s="90"/>
    </row>
    <row r="50" customFormat="false" ht="12.75" hidden="false" customHeight="false" outlineLevel="0" collapsed="false">
      <c r="E50" s="117" t="n">
        <f aca="false">+DATE(YEAR(E49),MONTH(E49)+1,1)</f>
        <v>47150</v>
      </c>
      <c r="F50" s="118" t="e">
        <f aca="false">+VLOOKUP(E50,[1]!curvecalc,3,0)</f>
        <v>#N/A</v>
      </c>
      <c r="G50" s="119" t="n">
        <f aca="false">+IF(AND(startdate&lt;=E50,enddate&gt;=E50),1,0)</f>
        <v>0</v>
      </c>
      <c r="H50" s="120" t="str">
        <f aca="false">+IF($G50=0,"",(+VLOOKUP($E50,[1]!FIXED_CHARTER_COST,HLOOKUP(vessel_choice,[1]!FIXED_CHARTER_COST,2,0)+1,0)*roundtrip_days)/vessel_mmbtu)</f>
        <v/>
      </c>
      <c r="I50" s="120" t="str">
        <f aca="false">+IF($G50=0,"",(+VLOOKUP($E50,[1]!OM_CHARTER_COST,HLOOKUP(vessel_choice,[1]!OM_CHARTER_COST,2,0)+1,0)*roundtrip_days)/vessel_mmbtu)</f>
        <v/>
      </c>
      <c r="J50" s="120" t="str">
        <f aca="false">IF($G50=0,"",(INDEX([1]!bunker_cost,MATCH(route,[1]!bunker_cost_route,0),MATCH(vessel_choice,[1]!bunker_cost_ship,0))/vessel_mmbtu))</f>
        <v/>
      </c>
      <c r="K50" s="120" t="str">
        <f aca="false">IF($G50=0,"",(+INDEX([1]!PORT_CHARGES,MATCH(source,[1]!PORTS,0),MATCH(vessel,[1]!PORT_CHARGE_SHIPS,0))/vessel_mmbtu))</f>
        <v/>
      </c>
      <c r="L50" s="120" t="str">
        <f aca="false">IF($G50=0,"",(+INDEX([1]!PORT_CHARGES,MATCH(destination,[1]!PORTS,0),MATCH(vessel,[1]!PORT_CHARGE_SHIPS,0))/vessel_mmbtu))</f>
        <v/>
      </c>
      <c r="M50" s="120" t="str">
        <f aca="false">IF($G50=0,"",IF(route_choice=1,INDEX([1]!PORT_CHARGES,MATCH(suez,[1]!PORTS,0),MATCH(vessel,[1]!PORT_CHARGE_SHIPS,0)),0)/vessel_mmbtu)</f>
        <v/>
      </c>
      <c r="N50" s="120" t="str">
        <f aca="false">+IF(G50=0,"",+HLOOKUP(vessel,[1]!other_cost,3,0))</f>
        <v/>
      </c>
      <c r="O50" s="121" t="str">
        <f aca="false">+IF(G50=0,"",SUM(H50:N50))</f>
        <v/>
      </c>
      <c r="P50" s="88"/>
      <c r="Q50" s="90"/>
    </row>
    <row r="51" customFormat="false" ht="12.75" hidden="false" customHeight="false" outlineLevel="0" collapsed="false">
      <c r="E51" s="117" t="n">
        <f aca="false">+DATE(YEAR(E50),MONTH(E50)+1,1)</f>
        <v>47178</v>
      </c>
      <c r="F51" s="118" t="e">
        <f aca="false">+VLOOKUP(E51,[1]!curvecalc,3,0)</f>
        <v>#N/A</v>
      </c>
      <c r="G51" s="119" t="n">
        <f aca="false">+IF(AND(startdate&lt;=E51,enddate&gt;=E51),1,0)</f>
        <v>0</v>
      </c>
      <c r="H51" s="120" t="str">
        <f aca="false">+IF($G51=0,"",(+VLOOKUP($E51,[1]!FIXED_CHARTER_COST,HLOOKUP(vessel_choice,[1]!FIXED_CHARTER_COST,2,0)+1,0)*roundtrip_days)/vessel_mmbtu)</f>
        <v/>
      </c>
      <c r="I51" s="120" t="str">
        <f aca="false">+IF($G51=0,"",(+VLOOKUP($E51,[1]!OM_CHARTER_COST,HLOOKUP(vessel_choice,[1]!OM_CHARTER_COST,2,0)+1,0)*roundtrip_days)/vessel_mmbtu)</f>
        <v/>
      </c>
      <c r="J51" s="120" t="str">
        <f aca="false">IF($G51=0,"",(INDEX([1]!bunker_cost,MATCH(route,[1]!bunker_cost_route,0),MATCH(vessel_choice,[1]!bunker_cost_ship,0))/vessel_mmbtu))</f>
        <v/>
      </c>
      <c r="K51" s="120" t="str">
        <f aca="false">IF($G51=0,"",(+INDEX([1]!PORT_CHARGES,MATCH(source,[1]!PORTS,0),MATCH(vessel,[1]!PORT_CHARGE_SHIPS,0))/vessel_mmbtu))</f>
        <v/>
      </c>
      <c r="L51" s="120" t="str">
        <f aca="false">IF($G51=0,"",(+INDEX([1]!PORT_CHARGES,MATCH(destination,[1]!PORTS,0),MATCH(vessel,[1]!PORT_CHARGE_SHIPS,0))/vessel_mmbtu))</f>
        <v/>
      </c>
      <c r="M51" s="120" t="str">
        <f aca="false">IF($G51=0,"",IF(route_choice=1,INDEX([1]!PORT_CHARGES,MATCH(suez,[1]!PORTS,0),MATCH(vessel,[1]!PORT_CHARGE_SHIPS,0)),0)/vessel_mmbtu)</f>
        <v/>
      </c>
      <c r="N51" s="120" t="str">
        <f aca="false">+IF(G51=0,"",+HLOOKUP(vessel,[1]!other_cost,3,0))</f>
        <v/>
      </c>
      <c r="O51" s="121" t="str">
        <f aca="false">+IF(G51=0,"",SUM(H51:N51))</f>
        <v/>
      </c>
      <c r="P51" s="88"/>
      <c r="Q51" s="90"/>
    </row>
    <row r="52" customFormat="false" ht="12.75" hidden="false" customHeight="false" outlineLevel="0" collapsed="false">
      <c r="E52" s="117" t="n">
        <f aca="false">+DATE(YEAR(E51),MONTH(E51)+1,1)</f>
        <v>47209</v>
      </c>
      <c r="F52" s="118" t="e">
        <f aca="false">+VLOOKUP(E52,[1]!curvecalc,3,0)</f>
        <v>#N/A</v>
      </c>
      <c r="G52" s="119" t="n">
        <f aca="false">+IF(AND(startdate&lt;=E52,enddate&gt;=E52),1,0)</f>
        <v>0</v>
      </c>
      <c r="H52" s="120" t="str">
        <f aca="false">+IF($G52=0,"",(+VLOOKUP($E52,[1]!FIXED_CHARTER_COST,HLOOKUP(vessel_choice,[1]!FIXED_CHARTER_COST,2,0)+1,0)*roundtrip_days)/vessel_mmbtu)</f>
        <v/>
      </c>
      <c r="I52" s="120" t="str">
        <f aca="false">+IF($G52=0,"",(+VLOOKUP($E52,[1]!OM_CHARTER_COST,HLOOKUP(vessel_choice,[1]!OM_CHARTER_COST,2,0)+1,0)*roundtrip_days)/vessel_mmbtu)</f>
        <v/>
      </c>
      <c r="J52" s="120" t="str">
        <f aca="false">IF($G52=0,"",(INDEX([1]!bunker_cost,MATCH(route,[1]!bunker_cost_route,0),MATCH(vessel_choice,[1]!bunker_cost_ship,0))/vessel_mmbtu))</f>
        <v/>
      </c>
      <c r="K52" s="120" t="str">
        <f aca="false">IF($G52=0,"",(+INDEX([1]!PORT_CHARGES,MATCH(source,[1]!PORTS,0),MATCH(vessel,[1]!PORT_CHARGE_SHIPS,0))/vessel_mmbtu))</f>
        <v/>
      </c>
      <c r="L52" s="120" t="str">
        <f aca="false">IF($G52=0,"",(+INDEX([1]!PORT_CHARGES,MATCH(destination,[1]!PORTS,0),MATCH(vessel,[1]!PORT_CHARGE_SHIPS,0))/vessel_mmbtu))</f>
        <v/>
      </c>
      <c r="M52" s="120" t="str">
        <f aca="false">IF($G52=0,"",IF(route_choice=1,INDEX([1]!PORT_CHARGES,MATCH(suez,[1]!PORTS,0),MATCH(vessel,[1]!PORT_CHARGE_SHIPS,0)),0)/vessel_mmbtu)</f>
        <v/>
      </c>
      <c r="N52" s="120" t="str">
        <f aca="false">+IF(G52=0,"",+HLOOKUP(vessel,[1]!other_cost,3,0))</f>
        <v/>
      </c>
      <c r="O52" s="121" t="str">
        <f aca="false">+IF(G52=0,"",SUM(H52:N52))</f>
        <v/>
      </c>
      <c r="P52" s="88"/>
      <c r="Q52" s="90"/>
    </row>
    <row r="53" customFormat="false" ht="12.75" hidden="false" customHeight="false" outlineLevel="0" collapsed="false">
      <c r="E53" s="117" t="n">
        <f aca="false">+DATE(YEAR(E52),MONTH(E52)+1,1)</f>
        <v>47239</v>
      </c>
      <c r="F53" s="118" t="e">
        <f aca="false">+VLOOKUP(E53,[1]!curvecalc,3,0)</f>
        <v>#N/A</v>
      </c>
      <c r="G53" s="119" t="n">
        <f aca="false">+IF(AND(startdate&lt;=E53,enddate&gt;=E53),1,0)</f>
        <v>0</v>
      </c>
      <c r="H53" s="120" t="str">
        <f aca="false">+IF($G53=0,"",(+VLOOKUP($E53,[1]!FIXED_CHARTER_COST,HLOOKUP(vessel_choice,[1]!FIXED_CHARTER_COST,2,0)+1,0)*roundtrip_days)/vessel_mmbtu)</f>
        <v/>
      </c>
      <c r="I53" s="120" t="str">
        <f aca="false">+IF($G53=0,"",(+VLOOKUP($E53,[1]!OM_CHARTER_COST,HLOOKUP(vessel_choice,[1]!OM_CHARTER_COST,2,0)+1,0)*roundtrip_days)/vessel_mmbtu)</f>
        <v/>
      </c>
      <c r="J53" s="120" t="str">
        <f aca="false">IF($G53=0,"",(INDEX([1]!bunker_cost,MATCH(route,[1]!bunker_cost_route,0),MATCH(vessel_choice,[1]!bunker_cost_ship,0))/vessel_mmbtu))</f>
        <v/>
      </c>
      <c r="K53" s="120" t="str">
        <f aca="false">IF($G53=0,"",(+INDEX([1]!PORT_CHARGES,MATCH(source,[1]!PORTS,0),MATCH(vessel,[1]!PORT_CHARGE_SHIPS,0))/vessel_mmbtu))</f>
        <v/>
      </c>
      <c r="L53" s="120" t="str">
        <f aca="false">IF($G53=0,"",(+INDEX([1]!PORT_CHARGES,MATCH(destination,[1]!PORTS,0),MATCH(vessel,[1]!PORT_CHARGE_SHIPS,0))/vessel_mmbtu))</f>
        <v/>
      </c>
      <c r="M53" s="120" t="str">
        <f aca="false">IF($G53=0,"",IF(route_choice=1,INDEX([1]!PORT_CHARGES,MATCH(suez,[1]!PORTS,0),MATCH(vessel,[1]!PORT_CHARGE_SHIPS,0)),0)/vessel_mmbtu)</f>
        <v/>
      </c>
      <c r="N53" s="120" t="str">
        <f aca="false">+IF(G53=0,"",+HLOOKUP(vessel,[1]!other_cost,3,0))</f>
        <v/>
      </c>
      <c r="O53" s="121" t="str">
        <f aca="false">+IF(G53=0,"",SUM(H53:N53))</f>
        <v/>
      </c>
      <c r="P53" s="88"/>
      <c r="Q53" s="90"/>
    </row>
    <row r="54" customFormat="false" ht="12.75" hidden="false" customHeight="false" outlineLevel="0" collapsed="false">
      <c r="E54" s="117" t="n">
        <f aca="false">+DATE(YEAR(E53),MONTH(E53)+1,1)</f>
        <v>47270</v>
      </c>
      <c r="F54" s="118" t="e">
        <f aca="false">+VLOOKUP(E54,[1]!curvecalc,3,0)</f>
        <v>#N/A</v>
      </c>
      <c r="G54" s="119" t="n">
        <f aca="false">+IF(AND(startdate&lt;=E54,enddate&gt;=E54),1,0)</f>
        <v>0</v>
      </c>
      <c r="H54" s="120" t="str">
        <f aca="false">+IF($G54=0,"",(+VLOOKUP($E54,[1]!FIXED_CHARTER_COST,HLOOKUP(vessel_choice,[1]!FIXED_CHARTER_COST,2,0)+1,0)*roundtrip_days)/vessel_mmbtu)</f>
        <v/>
      </c>
      <c r="I54" s="120" t="str">
        <f aca="false">+IF($G54=0,"",(+VLOOKUP($E54,[1]!OM_CHARTER_COST,HLOOKUP(vessel_choice,[1]!OM_CHARTER_COST,2,0)+1,0)*roundtrip_days)/vessel_mmbtu)</f>
        <v/>
      </c>
      <c r="J54" s="120" t="str">
        <f aca="false">IF($G54=0,"",(INDEX([1]!bunker_cost,MATCH(route,[1]!bunker_cost_route,0),MATCH(vessel_choice,[1]!bunker_cost_ship,0))/vessel_mmbtu))</f>
        <v/>
      </c>
      <c r="K54" s="120" t="str">
        <f aca="false">IF($G54=0,"",(+INDEX([1]!PORT_CHARGES,MATCH(source,[1]!PORTS,0),MATCH(vessel,[1]!PORT_CHARGE_SHIPS,0))/vessel_mmbtu))</f>
        <v/>
      </c>
      <c r="L54" s="120" t="str">
        <f aca="false">IF($G54=0,"",(+INDEX([1]!PORT_CHARGES,MATCH(destination,[1]!PORTS,0),MATCH(vessel,[1]!PORT_CHARGE_SHIPS,0))/vessel_mmbtu))</f>
        <v/>
      </c>
      <c r="M54" s="120" t="str">
        <f aca="false">IF($G54=0,"",IF(route_choice=1,INDEX([1]!PORT_CHARGES,MATCH(suez,[1]!PORTS,0),MATCH(vessel,[1]!PORT_CHARGE_SHIPS,0)),0)/vessel_mmbtu)</f>
        <v/>
      </c>
      <c r="N54" s="120" t="str">
        <f aca="false">+IF(G54=0,"",+HLOOKUP(vessel,[1]!other_cost,3,0))</f>
        <v/>
      </c>
      <c r="O54" s="121" t="str">
        <f aca="false">+IF(G54=0,"",SUM(H54:N54))</f>
        <v/>
      </c>
      <c r="P54" s="88"/>
      <c r="Q54" s="90"/>
    </row>
    <row r="55" customFormat="false" ht="12.75" hidden="false" customHeight="false" outlineLevel="0" collapsed="false">
      <c r="E55" s="117" t="n">
        <f aca="false">+DATE(YEAR(E54),MONTH(E54)+1,1)</f>
        <v>47300</v>
      </c>
      <c r="F55" s="118" t="e">
        <f aca="false">+VLOOKUP(E55,[1]!curvecalc,3,0)</f>
        <v>#N/A</v>
      </c>
      <c r="G55" s="119" t="n">
        <f aca="false">+IF(AND(startdate&lt;=E55,enddate&gt;=E55),1,0)</f>
        <v>0</v>
      </c>
      <c r="H55" s="120" t="str">
        <f aca="false">+IF($G55=0,"",(+VLOOKUP($E55,[1]!FIXED_CHARTER_COST,HLOOKUP(vessel_choice,[1]!FIXED_CHARTER_COST,2,0)+1,0)*roundtrip_days)/vessel_mmbtu)</f>
        <v/>
      </c>
      <c r="I55" s="120" t="str">
        <f aca="false">+IF($G55=0,"",(+VLOOKUP($E55,[1]!OM_CHARTER_COST,HLOOKUP(vessel_choice,[1]!OM_CHARTER_COST,2,0)+1,0)*roundtrip_days)/vessel_mmbtu)</f>
        <v/>
      </c>
      <c r="J55" s="120" t="str">
        <f aca="false">IF($G55=0,"",(INDEX([1]!bunker_cost,MATCH(route,[1]!bunker_cost_route,0),MATCH(vessel_choice,[1]!bunker_cost_ship,0))/vessel_mmbtu))</f>
        <v/>
      </c>
      <c r="K55" s="120" t="str">
        <f aca="false">IF($G55=0,"",(+INDEX([1]!PORT_CHARGES,MATCH(source,[1]!PORTS,0),MATCH(vessel,[1]!PORT_CHARGE_SHIPS,0))/vessel_mmbtu))</f>
        <v/>
      </c>
      <c r="L55" s="120" t="str">
        <f aca="false">IF($G55=0,"",(+INDEX([1]!PORT_CHARGES,MATCH(destination,[1]!PORTS,0),MATCH(vessel,[1]!PORT_CHARGE_SHIPS,0))/vessel_mmbtu))</f>
        <v/>
      </c>
      <c r="M55" s="120" t="str">
        <f aca="false">IF($G55=0,"",IF(route_choice=1,INDEX([1]!PORT_CHARGES,MATCH(suez,[1]!PORTS,0),MATCH(vessel,[1]!PORT_CHARGE_SHIPS,0)),0)/vessel_mmbtu)</f>
        <v/>
      </c>
      <c r="N55" s="120" t="str">
        <f aca="false">+IF(G55=0,"",+HLOOKUP(vessel,[1]!other_cost,3,0))</f>
        <v/>
      </c>
      <c r="O55" s="121" t="str">
        <f aca="false">+IF(G55=0,"",SUM(H55:N55))</f>
        <v/>
      </c>
      <c r="P55" s="88"/>
      <c r="Q55" s="90"/>
    </row>
    <row r="56" customFormat="false" ht="12.75" hidden="false" customHeight="false" outlineLevel="0" collapsed="false">
      <c r="E56" s="117" t="n">
        <f aca="false">+DATE(YEAR(E55),MONTH(E55)+1,1)</f>
        <v>47331</v>
      </c>
      <c r="F56" s="118" t="e">
        <f aca="false">+VLOOKUP(E56,[1]!curvecalc,3,0)</f>
        <v>#N/A</v>
      </c>
      <c r="G56" s="119" t="n">
        <f aca="false">+IF(AND(startdate&lt;=E56,enddate&gt;=E56),1,0)</f>
        <v>0</v>
      </c>
      <c r="H56" s="120" t="str">
        <f aca="false">+IF($G56=0,"",(+VLOOKUP($E56,[1]!FIXED_CHARTER_COST,HLOOKUP(vessel_choice,[1]!FIXED_CHARTER_COST,2,0)+1,0)*roundtrip_days)/vessel_mmbtu)</f>
        <v/>
      </c>
      <c r="I56" s="120" t="str">
        <f aca="false">+IF($G56=0,"",(+VLOOKUP($E56,[1]!OM_CHARTER_COST,HLOOKUP(vessel_choice,[1]!OM_CHARTER_COST,2,0)+1,0)*roundtrip_days)/vessel_mmbtu)</f>
        <v/>
      </c>
      <c r="J56" s="120" t="str">
        <f aca="false">IF($G56=0,"",(INDEX([1]!bunker_cost,MATCH(route,[1]!bunker_cost_route,0),MATCH(vessel_choice,[1]!bunker_cost_ship,0))/vessel_mmbtu))</f>
        <v/>
      </c>
      <c r="K56" s="120" t="str">
        <f aca="false">IF($G56=0,"",(+INDEX([1]!PORT_CHARGES,MATCH(source,[1]!PORTS,0),MATCH(vessel,[1]!PORT_CHARGE_SHIPS,0))/vessel_mmbtu))</f>
        <v/>
      </c>
      <c r="L56" s="120" t="str">
        <f aca="false">IF($G56=0,"",(+INDEX([1]!PORT_CHARGES,MATCH(destination,[1]!PORTS,0),MATCH(vessel,[1]!PORT_CHARGE_SHIPS,0))/vessel_mmbtu))</f>
        <v/>
      </c>
      <c r="M56" s="120" t="str">
        <f aca="false">IF($G56=0,"",IF(route_choice=1,INDEX([1]!PORT_CHARGES,MATCH(suez,[1]!PORTS,0),MATCH(vessel,[1]!PORT_CHARGE_SHIPS,0)),0)/vessel_mmbtu)</f>
        <v/>
      </c>
      <c r="N56" s="120" t="str">
        <f aca="false">+IF(G56=0,"",+HLOOKUP(vessel,[1]!other_cost,3,0))</f>
        <v/>
      </c>
      <c r="O56" s="121" t="str">
        <f aca="false">+IF(G56=0,"",SUM(H56:N56))</f>
        <v/>
      </c>
      <c r="P56" s="88"/>
      <c r="Q56" s="90"/>
    </row>
    <row r="57" customFormat="false" ht="12.75" hidden="false" customHeight="false" outlineLevel="0" collapsed="false">
      <c r="E57" s="117" t="n">
        <f aca="false">+DATE(YEAR(E56),MONTH(E56)+1,1)</f>
        <v>47362</v>
      </c>
      <c r="F57" s="118" t="e">
        <f aca="false">+VLOOKUP(E57,[1]!curvecalc,3,0)</f>
        <v>#N/A</v>
      </c>
      <c r="G57" s="119" t="n">
        <f aca="false">+IF(AND(startdate&lt;=E57,enddate&gt;=E57),1,0)</f>
        <v>0</v>
      </c>
      <c r="H57" s="120" t="str">
        <f aca="false">+IF($G57=0,"",(+VLOOKUP($E57,[1]!FIXED_CHARTER_COST,HLOOKUP(vessel_choice,[1]!FIXED_CHARTER_COST,2,0)+1,0)*roundtrip_days)/vessel_mmbtu)</f>
        <v/>
      </c>
      <c r="I57" s="120" t="str">
        <f aca="false">+IF($G57=0,"",(+VLOOKUP($E57,[1]!OM_CHARTER_COST,HLOOKUP(vessel_choice,[1]!OM_CHARTER_COST,2,0)+1,0)*roundtrip_days)/vessel_mmbtu)</f>
        <v/>
      </c>
      <c r="J57" s="120" t="str">
        <f aca="false">IF($G57=0,"",(INDEX([1]!bunker_cost,MATCH(route,[1]!bunker_cost_route,0),MATCH(vessel_choice,[1]!bunker_cost_ship,0))/vessel_mmbtu))</f>
        <v/>
      </c>
      <c r="K57" s="120" t="str">
        <f aca="false">IF($G57=0,"",(+INDEX([1]!PORT_CHARGES,MATCH(source,[1]!PORTS,0),MATCH(vessel,[1]!PORT_CHARGE_SHIPS,0))/vessel_mmbtu))</f>
        <v/>
      </c>
      <c r="L57" s="120" t="str">
        <f aca="false">IF($G57=0,"",(+INDEX([1]!PORT_CHARGES,MATCH(destination,[1]!PORTS,0),MATCH(vessel,[1]!PORT_CHARGE_SHIPS,0))/vessel_mmbtu))</f>
        <v/>
      </c>
      <c r="M57" s="120" t="str">
        <f aca="false">IF($G57=0,"",IF(route_choice=1,INDEX([1]!PORT_CHARGES,MATCH(suez,[1]!PORTS,0),MATCH(vessel,[1]!PORT_CHARGE_SHIPS,0)),0)/vessel_mmbtu)</f>
        <v/>
      </c>
      <c r="N57" s="120" t="str">
        <f aca="false">+IF(G57=0,"",+HLOOKUP(vessel,[1]!other_cost,3,0))</f>
        <v/>
      </c>
      <c r="O57" s="121" t="str">
        <f aca="false">+IF(G57=0,"",SUM(H57:N57))</f>
        <v/>
      </c>
      <c r="P57" s="88"/>
      <c r="Q57" s="90"/>
    </row>
    <row r="58" customFormat="false" ht="12.75" hidden="false" customHeight="false" outlineLevel="0" collapsed="false">
      <c r="E58" s="117" t="n">
        <f aca="false">+DATE(YEAR(E57),MONTH(E57)+1,1)</f>
        <v>47392</v>
      </c>
      <c r="F58" s="118" t="e">
        <f aca="false">+VLOOKUP(E58,[1]!curvecalc,3,0)</f>
        <v>#N/A</v>
      </c>
      <c r="G58" s="119" t="n">
        <f aca="false">+IF(AND(startdate&lt;=E58,enddate&gt;=E58),1,0)</f>
        <v>0</v>
      </c>
      <c r="H58" s="120" t="str">
        <f aca="false">+IF($G58=0,"",(+VLOOKUP($E58,[1]!FIXED_CHARTER_COST,HLOOKUP(vessel_choice,[1]!FIXED_CHARTER_COST,2,0)+1,0)*roundtrip_days)/vessel_mmbtu)</f>
        <v/>
      </c>
      <c r="I58" s="120" t="str">
        <f aca="false">+IF($G58=0,"",(+VLOOKUP($E58,[1]!OM_CHARTER_COST,HLOOKUP(vessel_choice,[1]!OM_CHARTER_COST,2,0)+1,0)*roundtrip_days)/vessel_mmbtu)</f>
        <v/>
      </c>
      <c r="J58" s="120" t="str">
        <f aca="false">IF($G58=0,"",(INDEX([1]!bunker_cost,MATCH(route,[1]!bunker_cost_route,0),MATCH(vessel_choice,[1]!bunker_cost_ship,0))/vessel_mmbtu))</f>
        <v/>
      </c>
      <c r="K58" s="120" t="str">
        <f aca="false">IF($G58=0,"",(+INDEX([1]!PORT_CHARGES,MATCH(source,[1]!PORTS,0),MATCH(vessel,[1]!PORT_CHARGE_SHIPS,0))/vessel_mmbtu))</f>
        <v/>
      </c>
      <c r="L58" s="120" t="str">
        <f aca="false">IF($G58=0,"",(+INDEX([1]!PORT_CHARGES,MATCH(destination,[1]!PORTS,0),MATCH(vessel,[1]!PORT_CHARGE_SHIPS,0))/vessel_mmbtu))</f>
        <v/>
      </c>
      <c r="M58" s="120" t="str">
        <f aca="false">IF($G58=0,"",IF(route_choice=1,INDEX([1]!PORT_CHARGES,MATCH(suez,[1]!PORTS,0),MATCH(vessel,[1]!PORT_CHARGE_SHIPS,0)),0)/vessel_mmbtu)</f>
        <v/>
      </c>
      <c r="N58" s="120" t="str">
        <f aca="false">+IF(G58=0,"",+HLOOKUP(vessel,[1]!other_cost,3,0))</f>
        <v/>
      </c>
      <c r="O58" s="121" t="str">
        <f aca="false">+IF(G58=0,"",SUM(H58:N58))</f>
        <v/>
      </c>
      <c r="P58" s="88"/>
      <c r="Q58" s="90"/>
    </row>
    <row r="59" customFormat="false" ht="12.75" hidden="false" customHeight="false" outlineLevel="0" collapsed="false">
      <c r="E59" s="117" t="n">
        <f aca="false">+DATE(YEAR(E58),MONTH(E58)+1,1)</f>
        <v>47423</v>
      </c>
      <c r="F59" s="118" t="e">
        <f aca="false">+VLOOKUP(E59,[1]!curvecalc,3,0)</f>
        <v>#N/A</v>
      </c>
      <c r="G59" s="119" t="n">
        <f aca="false">+IF(AND(startdate&lt;=E59,enddate&gt;=E59),1,0)</f>
        <v>0</v>
      </c>
      <c r="H59" s="120" t="str">
        <f aca="false">+IF($G59=0,"",(+VLOOKUP($E59,[1]!FIXED_CHARTER_COST,HLOOKUP(vessel_choice,[1]!FIXED_CHARTER_COST,2,0)+1,0)*roundtrip_days)/vessel_mmbtu)</f>
        <v/>
      </c>
      <c r="I59" s="120" t="str">
        <f aca="false">+IF($G59=0,"",(+VLOOKUP($E59,[1]!OM_CHARTER_COST,HLOOKUP(vessel_choice,[1]!OM_CHARTER_COST,2,0)+1,0)*roundtrip_days)/vessel_mmbtu)</f>
        <v/>
      </c>
      <c r="J59" s="120" t="str">
        <f aca="false">IF($G59=0,"",(INDEX([1]!bunker_cost,MATCH(route,[1]!bunker_cost_route,0),MATCH(vessel_choice,[1]!bunker_cost_ship,0))/vessel_mmbtu))</f>
        <v/>
      </c>
      <c r="K59" s="120" t="str">
        <f aca="false">IF($G59=0,"",(+INDEX([1]!PORT_CHARGES,MATCH(source,[1]!PORTS,0),MATCH(vessel,[1]!PORT_CHARGE_SHIPS,0))/vessel_mmbtu))</f>
        <v/>
      </c>
      <c r="L59" s="120" t="str">
        <f aca="false">IF($G59=0,"",(+INDEX([1]!PORT_CHARGES,MATCH(destination,[1]!PORTS,0),MATCH(vessel,[1]!PORT_CHARGE_SHIPS,0))/vessel_mmbtu))</f>
        <v/>
      </c>
      <c r="M59" s="120" t="str">
        <f aca="false">IF($G59=0,"",IF(route_choice=1,INDEX([1]!PORT_CHARGES,MATCH(suez,[1]!PORTS,0),MATCH(vessel,[1]!PORT_CHARGE_SHIPS,0)),0)/vessel_mmbtu)</f>
        <v/>
      </c>
      <c r="N59" s="120" t="str">
        <f aca="false">+IF(G59=0,"",+HLOOKUP(vessel,[1]!other_cost,3,0))</f>
        <v/>
      </c>
      <c r="O59" s="121" t="str">
        <f aca="false">+IF(G59=0,"",SUM(H59:N59))</f>
        <v/>
      </c>
      <c r="P59" s="88"/>
      <c r="Q59" s="90"/>
    </row>
    <row r="60" customFormat="false" ht="12.75" hidden="false" customHeight="false" outlineLevel="0" collapsed="false">
      <c r="E60" s="117" t="n">
        <f aca="false">+DATE(YEAR(E59),MONTH(E59)+1,1)</f>
        <v>47453</v>
      </c>
      <c r="F60" s="118" t="e">
        <f aca="false">+VLOOKUP(E60,[1]!curvecalc,3,0)</f>
        <v>#N/A</v>
      </c>
      <c r="G60" s="119" t="n">
        <f aca="false">+IF(AND(startdate&lt;=E60,enddate&gt;=E60),1,0)</f>
        <v>0</v>
      </c>
      <c r="H60" s="120" t="str">
        <f aca="false">+IF($G60=0,"",(+VLOOKUP($E60,[1]!FIXED_CHARTER_COST,HLOOKUP(vessel_choice,[1]!FIXED_CHARTER_COST,2,0)+1,0)*roundtrip_days)/vessel_mmbtu)</f>
        <v/>
      </c>
      <c r="I60" s="120" t="str">
        <f aca="false">+IF($G60=0,"",(+VLOOKUP($E60,[1]!OM_CHARTER_COST,HLOOKUP(vessel_choice,[1]!OM_CHARTER_COST,2,0)+1,0)*roundtrip_days)/vessel_mmbtu)</f>
        <v/>
      </c>
      <c r="J60" s="120" t="str">
        <f aca="false">IF($G60=0,"",(INDEX([1]!bunker_cost,MATCH(route,[1]!bunker_cost_route,0),MATCH(vessel_choice,[1]!bunker_cost_ship,0))/vessel_mmbtu))</f>
        <v/>
      </c>
      <c r="K60" s="120" t="str">
        <f aca="false">IF($G60=0,"",(+INDEX([1]!PORT_CHARGES,MATCH(source,[1]!PORTS,0),MATCH(vessel,[1]!PORT_CHARGE_SHIPS,0))/vessel_mmbtu))</f>
        <v/>
      </c>
      <c r="L60" s="120" t="str">
        <f aca="false">IF($G60=0,"",(+INDEX([1]!PORT_CHARGES,MATCH(destination,[1]!PORTS,0),MATCH(vessel,[1]!PORT_CHARGE_SHIPS,0))/vessel_mmbtu))</f>
        <v/>
      </c>
      <c r="M60" s="120" t="str">
        <f aca="false">IF($G60=0,"",IF(route_choice=1,INDEX([1]!PORT_CHARGES,MATCH(suez,[1]!PORTS,0),MATCH(vessel,[1]!PORT_CHARGE_SHIPS,0)),0)/vessel_mmbtu)</f>
        <v/>
      </c>
      <c r="N60" s="120" t="str">
        <f aca="false">+IF(G60=0,"",+HLOOKUP(vessel,[1]!other_cost,3,0))</f>
        <v/>
      </c>
      <c r="O60" s="121" t="str">
        <f aca="false">+IF(G60=0,"",SUM(H60:N60))</f>
        <v/>
      </c>
      <c r="P60" s="88"/>
      <c r="Q60" s="90"/>
    </row>
    <row r="61" customFormat="false" ht="12.75" hidden="false" customHeight="false" outlineLevel="0" collapsed="false">
      <c r="E61" s="117" t="n">
        <f aca="false">+DATE(YEAR(E60),MONTH(E60)+1,1)</f>
        <v>47484</v>
      </c>
      <c r="F61" s="118" t="e">
        <f aca="false">+VLOOKUP(E61,[1]!curvecalc,3,0)</f>
        <v>#N/A</v>
      </c>
      <c r="G61" s="119" t="n">
        <f aca="false">+IF(AND(startdate&lt;=E61,enddate&gt;=E61),1,0)</f>
        <v>0</v>
      </c>
      <c r="H61" s="120" t="str">
        <f aca="false">+IF($G61=0,"",(+VLOOKUP($E61,[1]!FIXED_CHARTER_COST,HLOOKUP(vessel_choice,[1]!FIXED_CHARTER_COST,2,0)+1,0)*roundtrip_days)/vessel_mmbtu)</f>
        <v/>
      </c>
      <c r="I61" s="120" t="str">
        <f aca="false">+IF($G61=0,"",(+VLOOKUP($E61,[1]!OM_CHARTER_COST,HLOOKUP(vessel_choice,[1]!OM_CHARTER_COST,2,0)+1,0)*roundtrip_days)/vessel_mmbtu)</f>
        <v/>
      </c>
      <c r="J61" s="120" t="str">
        <f aca="false">IF($G61=0,"",(INDEX([1]!bunker_cost,MATCH(route,[1]!bunker_cost_route,0),MATCH(vessel_choice,[1]!bunker_cost_ship,0))/vessel_mmbtu))</f>
        <v/>
      </c>
      <c r="K61" s="120" t="str">
        <f aca="false">IF($G61=0,"",(+INDEX([1]!PORT_CHARGES,MATCH(source,[1]!PORTS,0),MATCH(vessel,[1]!PORT_CHARGE_SHIPS,0))/vessel_mmbtu))</f>
        <v/>
      </c>
      <c r="L61" s="120" t="str">
        <f aca="false">IF($G61=0,"",(+INDEX([1]!PORT_CHARGES,MATCH(destination,[1]!PORTS,0),MATCH(vessel,[1]!PORT_CHARGE_SHIPS,0))/vessel_mmbtu))</f>
        <v/>
      </c>
      <c r="M61" s="120" t="str">
        <f aca="false">IF($G61=0,"",IF(route_choice=1,INDEX([1]!PORT_CHARGES,MATCH(suez,[1]!PORTS,0),MATCH(vessel,[1]!PORT_CHARGE_SHIPS,0)),0)/vessel_mmbtu)</f>
        <v/>
      </c>
      <c r="N61" s="120" t="str">
        <f aca="false">+IF(G61=0,"",+HLOOKUP(vessel,[1]!other_cost,3,0))</f>
        <v/>
      </c>
      <c r="O61" s="121" t="str">
        <f aca="false">+IF(G61=0,"",SUM(H61:N61))</f>
        <v/>
      </c>
      <c r="P61" s="88"/>
      <c r="Q61" s="90"/>
    </row>
    <row r="62" customFormat="false" ht="12.75" hidden="false" customHeight="false" outlineLevel="0" collapsed="false">
      <c r="E62" s="117" t="n">
        <f aca="false">+DATE(YEAR(E61),MONTH(E61)+1,1)</f>
        <v>47515</v>
      </c>
      <c r="F62" s="118" t="e">
        <f aca="false">+VLOOKUP(E62,[1]!curvecalc,3,0)</f>
        <v>#N/A</v>
      </c>
      <c r="G62" s="119" t="n">
        <f aca="false">+IF(AND(startdate&lt;=E62,enddate&gt;=E62),1,0)</f>
        <v>0</v>
      </c>
      <c r="H62" s="120" t="str">
        <f aca="false">+IF($G62=0,"",(+VLOOKUP($E62,[1]!FIXED_CHARTER_COST,HLOOKUP(vessel_choice,[1]!FIXED_CHARTER_COST,2,0)+1,0)*roundtrip_days)/vessel_mmbtu)</f>
        <v/>
      </c>
      <c r="I62" s="120" t="str">
        <f aca="false">+IF($G62=0,"",(+VLOOKUP($E62,[1]!OM_CHARTER_COST,HLOOKUP(vessel_choice,[1]!OM_CHARTER_COST,2,0)+1,0)*roundtrip_days)/vessel_mmbtu)</f>
        <v/>
      </c>
      <c r="J62" s="120" t="str">
        <f aca="false">IF($G62=0,"",(INDEX([1]!bunker_cost,MATCH(route,[1]!bunker_cost_route,0),MATCH(vessel_choice,[1]!bunker_cost_ship,0))/vessel_mmbtu))</f>
        <v/>
      </c>
      <c r="K62" s="120" t="str">
        <f aca="false">IF($G62=0,"",(+INDEX([1]!PORT_CHARGES,MATCH(source,[1]!PORTS,0),MATCH(vessel,[1]!PORT_CHARGE_SHIPS,0))/vessel_mmbtu))</f>
        <v/>
      </c>
      <c r="L62" s="120" t="str">
        <f aca="false">IF($G62=0,"",(+INDEX([1]!PORT_CHARGES,MATCH(destination,[1]!PORTS,0),MATCH(vessel,[1]!PORT_CHARGE_SHIPS,0))/vessel_mmbtu))</f>
        <v/>
      </c>
      <c r="M62" s="120" t="str">
        <f aca="false">IF($G62=0,"",IF(route_choice=1,INDEX([1]!PORT_CHARGES,MATCH(suez,[1]!PORTS,0),MATCH(vessel,[1]!PORT_CHARGE_SHIPS,0)),0)/vessel_mmbtu)</f>
        <v/>
      </c>
      <c r="N62" s="120" t="str">
        <f aca="false">+IF(G62=0,"",+HLOOKUP(vessel,[1]!other_cost,3,0))</f>
        <v/>
      </c>
      <c r="O62" s="121" t="str">
        <f aca="false">+IF(G62=0,"",SUM(H62:N62))</f>
        <v/>
      </c>
      <c r="P62" s="88"/>
      <c r="Q62" s="90"/>
    </row>
    <row r="63" customFormat="false" ht="12.75" hidden="false" customHeight="false" outlineLevel="0" collapsed="false">
      <c r="E63" s="117" t="n">
        <f aca="false">+DATE(YEAR(E62),MONTH(E62)+1,1)</f>
        <v>47543</v>
      </c>
      <c r="F63" s="118" t="e">
        <f aca="false">+VLOOKUP(E63,[1]!curvecalc,3,0)</f>
        <v>#N/A</v>
      </c>
      <c r="G63" s="119" t="n">
        <f aca="false">+IF(AND(startdate&lt;=E63,enddate&gt;=E63),1,0)</f>
        <v>0</v>
      </c>
      <c r="H63" s="120" t="str">
        <f aca="false">+IF($G63=0,"",(+VLOOKUP($E63,[1]!FIXED_CHARTER_COST,HLOOKUP(vessel_choice,[1]!FIXED_CHARTER_COST,2,0)+1,0)*roundtrip_days)/vessel_mmbtu)</f>
        <v/>
      </c>
      <c r="I63" s="120" t="str">
        <f aca="false">+IF($G63=0,"",(+VLOOKUP($E63,[1]!OM_CHARTER_COST,HLOOKUP(vessel_choice,[1]!OM_CHARTER_COST,2,0)+1,0)*roundtrip_days)/vessel_mmbtu)</f>
        <v/>
      </c>
      <c r="J63" s="120" t="str">
        <f aca="false">IF($G63=0,"",(INDEX([1]!bunker_cost,MATCH(route,[1]!bunker_cost_route,0),MATCH(vessel_choice,[1]!bunker_cost_ship,0))/vessel_mmbtu))</f>
        <v/>
      </c>
      <c r="K63" s="120" t="str">
        <f aca="false">IF($G63=0,"",(+INDEX([1]!PORT_CHARGES,MATCH(source,[1]!PORTS,0),MATCH(vessel,[1]!PORT_CHARGE_SHIPS,0))/vessel_mmbtu))</f>
        <v/>
      </c>
      <c r="L63" s="120" t="str">
        <f aca="false">IF($G63=0,"",(+INDEX([1]!PORT_CHARGES,MATCH(destination,[1]!PORTS,0),MATCH(vessel,[1]!PORT_CHARGE_SHIPS,0))/vessel_mmbtu))</f>
        <v/>
      </c>
      <c r="M63" s="120" t="str">
        <f aca="false">IF($G63=0,"",IF(route_choice=1,INDEX([1]!PORT_CHARGES,MATCH(suez,[1]!PORTS,0),MATCH(vessel,[1]!PORT_CHARGE_SHIPS,0)),0)/vessel_mmbtu)</f>
        <v/>
      </c>
      <c r="N63" s="120" t="str">
        <f aca="false">+IF(G63=0,"",+HLOOKUP(vessel,[1]!other_cost,3,0))</f>
        <v/>
      </c>
      <c r="O63" s="121" t="str">
        <f aca="false">+IF(G63=0,"",SUM(H63:N63))</f>
        <v/>
      </c>
      <c r="P63" s="88"/>
      <c r="Q63" s="90"/>
    </row>
    <row r="64" customFormat="false" ht="12.75" hidden="false" customHeight="false" outlineLevel="0" collapsed="false">
      <c r="E64" s="117" t="n">
        <f aca="false">+DATE(YEAR(E63),MONTH(E63)+1,1)</f>
        <v>47574</v>
      </c>
      <c r="F64" s="118" t="e">
        <f aca="false">+VLOOKUP(E64,[1]!curvecalc,3,0)</f>
        <v>#N/A</v>
      </c>
      <c r="G64" s="119" t="n">
        <f aca="false">+IF(AND(startdate&lt;=E64,enddate&gt;=E64),1,0)</f>
        <v>0</v>
      </c>
      <c r="H64" s="120" t="str">
        <f aca="false">+IF($G64=0,"",(+VLOOKUP($E64,[1]!FIXED_CHARTER_COST,HLOOKUP(vessel_choice,[1]!FIXED_CHARTER_COST,2,0)+1,0)*roundtrip_days)/vessel_mmbtu)</f>
        <v/>
      </c>
      <c r="I64" s="120" t="str">
        <f aca="false">+IF($G64=0,"",(+VLOOKUP($E64,[1]!OM_CHARTER_COST,HLOOKUP(vessel_choice,[1]!OM_CHARTER_COST,2,0)+1,0)*roundtrip_days)/vessel_mmbtu)</f>
        <v/>
      </c>
      <c r="J64" s="120" t="str">
        <f aca="false">IF($G64=0,"",(INDEX([1]!bunker_cost,MATCH(route,[1]!bunker_cost_route,0),MATCH(vessel_choice,[1]!bunker_cost_ship,0))/vessel_mmbtu))</f>
        <v/>
      </c>
      <c r="K64" s="120" t="str">
        <f aca="false">IF($G64=0,"",(+INDEX([1]!PORT_CHARGES,MATCH(source,[1]!PORTS,0),MATCH(vessel,[1]!PORT_CHARGE_SHIPS,0))/vessel_mmbtu))</f>
        <v/>
      </c>
      <c r="L64" s="120" t="str">
        <f aca="false">IF($G64=0,"",(+INDEX([1]!PORT_CHARGES,MATCH(destination,[1]!PORTS,0),MATCH(vessel,[1]!PORT_CHARGE_SHIPS,0))/vessel_mmbtu))</f>
        <v/>
      </c>
      <c r="M64" s="120" t="str">
        <f aca="false">IF($G64=0,"",IF(route_choice=1,INDEX([1]!PORT_CHARGES,MATCH(suez,[1]!PORTS,0),MATCH(vessel,[1]!PORT_CHARGE_SHIPS,0)),0)/vessel_mmbtu)</f>
        <v/>
      </c>
      <c r="N64" s="120" t="str">
        <f aca="false">+IF(G64=0,"",+HLOOKUP(vessel,[1]!other_cost,3,0))</f>
        <v/>
      </c>
      <c r="O64" s="121" t="str">
        <f aca="false">+IF(G64=0,"",SUM(H64:N64))</f>
        <v/>
      </c>
      <c r="P64" s="88"/>
      <c r="Q64" s="90"/>
    </row>
    <row r="65" customFormat="false" ht="12.75" hidden="false" customHeight="false" outlineLevel="0" collapsed="false">
      <c r="E65" s="117" t="n">
        <f aca="false">+DATE(YEAR(E64),MONTH(E64)+1,1)</f>
        <v>47604</v>
      </c>
      <c r="F65" s="118" t="e">
        <f aca="false">+VLOOKUP(E65,[1]!curvecalc,3,0)</f>
        <v>#N/A</v>
      </c>
      <c r="G65" s="119" t="n">
        <f aca="false">+IF(AND(startdate&lt;=E65,enddate&gt;=E65),1,0)</f>
        <v>0</v>
      </c>
      <c r="H65" s="120" t="str">
        <f aca="false">+IF($G65=0,"",(+VLOOKUP($E65,[1]!FIXED_CHARTER_COST,HLOOKUP(vessel_choice,[1]!FIXED_CHARTER_COST,2,0)+1,0)*roundtrip_days)/vessel_mmbtu)</f>
        <v/>
      </c>
      <c r="I65" s="120" t="str">
        <f aca="false">+IF($G65=0,"",(+VLOOKUP($E65,[1]!OM_CHARTER_COST,HLOOKUP(vessel_choice,[1]!OM_CHARTER_COST,2,0)+1,0)*roundtrip_days)/vessel_mmbtu)</f>
        <v/>
      </c>
      <c r="J65" s="120" t="str">
        <f aca="false">IF($G65=0,"",(INDEX([1]!bunker_cost,MATCH(route,[1]!bunker_cost_route,0),MATCH(vessel_choice,[1]!bunker_cost_ship,0))/vessel_mmbtu))</f>
        <v/>
      </c>
      <c r="K65" s="120" t="str">
        <f aca="false">IF($G65=0,"",(+INDEX([1]!PORT_CHARGES,MATCH(source,[1]!PORTS,0),MATCH(vessel,[1]!PORT_CHARGE_SHIPS,0))/vessel_mmbtu))</f>
        <v/>
      </c>
      <c r="L65" s="120" t="str">
        <f aca="false">IF($G65=0,"",(+INDEX([1]!PORT_CHARGES,MATCH(destination,[1]!PORTS,0),MATCH(vessel,[1]!PORT_CHARGE_SHIPS,0))/vessel_mmbtu))</f>
        <v/>
      </c>
      <c r="M65" s="120" t="str">
        <f aca="false">IF($G65=0,"",IF(route_choice=1,INDEX([1]!PORT_CHARGES,MATCH(suez,[1]!PORTS,0),MATCH(vessel,[1]!PORT_CHARGE_SHIPS,0)),0)/vessel_mmbtu)</f>
        <v/>
      </c>
      <c r="N65" s="120" t="str">
        <f aca="false">+IF(G65=0,"",+HLOOKUP(vessel,[1]!other_cost,3,0))</f>
        <v/>
      </c>
      <c r="O65" s="121" t="str">
        <f aca="false">+IF(G65=0,"",SUM(H65:N65))</f>
        <v/>
      </c>
      <c r="P65" s="88"/>
      <c r="Q65" s="90"/>
    </row>
    <row r="66" customFormat="false" ht="12.75" hidden="false" customHeight="false" outlineLevel="0" collapsed="false">
      <c r="E66" s="117" t="n">
        <f aca="false">+DATE(YEAR(E65),MONTH(E65)+1,1)</f>
        <v>47635</v>
      </c>
      <c r="F66" s="118" t="e">
        <f aca="false">+VLOOKUP(E66,[1]!curvecalc,3,0)</f>
        <v>#N/A</v>
      </c>
      <c r="G66" s="119" t="n">
        <f aca="false">+IF(AND(startdate&lt;=E66,enddate&gt;=E66),1,0)</f>
        <v>0</v>
      </c>
      <c r="H66" s="120" t="str">
        <f aca="false">+IF($G66=0,"",(+VLOOKUP($E66,[1]!FIXED_CHARTER_COST,HLOOKUP(vessel_choice,[1]!FIXED_CHARTER_COST,2,0)+1,0)*roundtrip_days)/vessel_mmbtu)</f>
        <v/>
      </c>
      <c r="I66" s="120" t="str">
        <f aca="false">+IF($G66=0,"",(+VLOOKUP($E66,[1]!OM_CHARTER_COST,HLOOKUP(vessel_choice,[1]!OM_CHARTER_COST,2,0)+1,0)*roundtrip_days)/vessel_mmbtu)</f>
        <v/>
      </c>
      <c r="J66" s="120" t="str">
        <f aca="false">IF($G66=0,"",(INDEX([1]!bunker_cost,MATCH(route,[1]!bunker_cost_route,0),MATCH(vessel_choice,[1]!bunker_cost_ship,0))/vessel_mmbtu))</f>
        <v/>
      </c>
      <c r="K66" s="120" t="str">
        <f aca="false">IF($G66=0,"",(+INDEX([1]!PORT_CHARGES,MATCH(source,[1]!PORTS,0),MATCH(vessel,[1]!PORT_CHARGE_SHIPS,0))/vessel_mmbtu))</f>
        <v/>
      </c>
      <c r="L66" s="120" t="str">
        <f aca="false">IF($G66=0,"",(+INDEX([1]!PORT_CHARGES,MATCH(destination,[1]!PORTS,0),MATCH(vessel,[1]!PORT_CHARGE_SHIPS,0))/vessel_mmbtu))</f>
        <v/>
      </c>
      <c r="M66" s="120" t="str">
        <f aca="false">IF($G66=0,"",IF(route_choice=1,INDEX([1]!PORT_CHARGES,MATCH(suez,[1]!PORTS,0),MATCH(vessel,[1]!PORT_CHARGE_SHIPS,0)),0)/vessel_mmbtu)</f>
        <v/>
      </c>
      <c r="N66" s="120" t="str">
        <f aca="false">+IF(G66=0,"",+HLOOKUP(vessel,[1]!other_cost,3,0))</f>
        <v/>
      </c>
      <c r="O66" s="121" t="str">
        <f aca="false">+IF(G66=0,"",SUM(H66:N66))</f>
        <v/>
      </c>
      <c r="P66" s="88"/>
      <c r="Q66" s="90"/>
    </row>
    <row r="67" customFormat="false" ht="12.75" hidden="false" customHeight="false" outlineLevel="0" collapsed="false">
      <c r="E67" s="117" t="n">
        <f aca="false">+DATE(YEAR(E66),MONTH(E66)+1,1)</f>
        <v>47665</v>
      </c>
      <c r="F67" s="118" t="e">
        <f aca="false">+VLOOKUP(E67,[1]!curvecalc,3,0)</f>
        <v>#N/A</v>
      </c>
      <c r="G67" s="119" t="n">
        <f aca="false">+IF(AND(startdate&lt;=E67,enddate&gt;=E67),1,0)</f>
        <v>0</v>
      </c>
      <c r="H67" s="120" t="str">
        <f aca="false">+IF($G67=0,"",(+VLOOKUP($E67,[1]!FIXED_CHARTER_COST,HLOOKUP(vessel_choice,[1]!FIXED_CHARTER_COST,2,0)+1,0)*roundtrip_days)/vessel_mmbtu)</f>
        <v/>
      </c>
      <c r="I67" s="120" t="str">
        <f aca="false">+IF($G67=0,"",(+VLOOKUP($E67,[1]!OM_CHARTER_COST,HLOOKUP(vessel_choice,[1]!OM_CHARTER_COST,2,0)+1,0)*roundtrip_days)/vessel_mmbtu)</f>
        <v/>
      </c>
      <c r="J67" s="120" t="str">
        <f aca="false">IF($G67=0,"",(INDEX([1]!bunker_cost,MATCH(route,[1]!bunker_cost_route,0),MATCH(vessel_choice,[1]!bunker_cost_ship,0))/vessel_mmbtu))</f>
        <v/>
      </c>
      <c r="K67" s="120" t="str">
        <f aca="false">IF($G67=0,"",(+INDEX([1]!PORT_CHARGES,MATCH(source,[1]!PORTS,0),MATCH(vessel,[1]!PORT_CHARGE_SHIPS,0))/vessel_mmbtu))</f>
        <v/>
      </c>
      <c r="L67" s="120" t="str">
        <f aca="false">IF($G67=0,"",(+INDEX([1]!PORT_CHARGES,MATCH(destination,[1]!PORTS,0),MATCH(vessel,[1]!PORT_CHARGE_SHIPS,0))/vessel_mmbtu))</f>
        <v/>
      </c>
      <c r="M67" s="120" t="str">
        <f aca="false">IF($G67=0,"",IF(route_choice=1,INDEX([1]!PORT_CHARGES,MATCH(suez,[1]!PORTS,0),MATCH(vessel,[1]!PORT_CHARGE_SHIPS,0)),0)/vessel_mmbtu)</f>
        <v/>
      </c>
      <c r="N67" s="120" t="str">
        <f aca="false">+IF(G67=0,"",+HLOOKUP(vessel,[1]!other_cost,3,0))</f>
        <v/>
      </c>
      <c r="O67" s="121" t="str">
        <f aca="false">+IF(G67=0,"",SUM(H67:N67))</f>
        <v/>
      </c>
      <c r="P67" s="88"/>
      <c r="Q67" s="90"/>
    </row>
    <row r="68" customFormat="false" ht="12.75" hidden="false" customHeight="false" outlineLevel="0" collapsed="false">
      <c r="E68" s="117" t="n">
        <f aca="false">+DATE(YEAR(E67),MONTH(E67)+1,1)</f>
        <v>47696</v>
      </c>
      <c r="F68" s="118" t="e">
        <f aca="false">+VLOOKUP(E68,[1]!curvecalc,3,0)</f>
        <v>#N/A</v>
      </c>
      <c r="G68" s="119" t="n">
        <f aca="false">+IF(AND(startdate&lt;=E68,enddate&gt;=E68),1,0)</f>
        <v>0</v>
      </c>
      <c r="H68" s="120" t="str">
        <f aca="false">+IF($G68=0,"",(+VLOOKUP($E68,[1]!FIXED_CHARTER_COST,HLOOKUP(vessel_choice,[1]!FIXED_CHARTER_COST,2,0)+1,0)*roundtrip_days)/vessel_mmbtu)</f>
        <v/>
      </c>
      <c r="I68" s="120" t="str">
        <f aca="false">+IF($G68=0,"",(+VLOOKUP($E68,[1]!OM_CHARTER_COST,HLOOKUP(vessel_choice,[1]!OM_CHARTER_COST,2,0)+1,0)*roundtrip_days)/vessel_mmbtu)</f>
        <v/>
      </c>
      <c r="J68" s="120" t="str">
        <f aca="false">IF($G68=0,"",(INDEX([1]!bunker_cost,MATCH(route,[1]!bunker_cost_route,0),MATCH(vessel_choice,[1]!bunker_cost_ship,0))/vessel_mmbtu))</f>
        <v/>
      </c>
      <c r="K68" s="120" t="str">
        <f aca="false">IF($G68=0,"",(+INDEX([1]!PORT_CHARGES,MATCH(source,[1]!PORTS,0),MATCH(vessel,[1]!PORT_CHARGE_SHIPS,0))/vessel_mmbtu))</f>
        <v/>
      </c>
      <c r="L68" s="120" t="str">
        <f aca="false">IF($G68=0,"",(+INDEX([1]!PORT_CHARGES,MATCH(destination,[1]!PORTS,0),MATCH(vessel,[1]!PORT_CHARGE_SHIPS,0))/vessel_mmbtu))</f>
        <v/>
      </c>
      <c r="M68" s="120" t="str">
        <f aca="false">IF($G68=0,"",IF(route_choice=1,INDEX([1]!PORT_CHARGES,MATCH(suez,[1]!PORTS,0),MATCH(vessel,[1]!PORT_CHARGE_SHIPS,0)),0)/vessel_mmbtu)</f>
        <v/>
      </c>
      <c r="N68" s="120" t="str">
        <f aca="false">+IF(G68=0,"",+HLOOKUP(vessel,[1]!other_cost,3,0))</f>
        <v/>
      </c>
      <c r="O68" s="121" t="str">
        <f aca="false">+IF(G68=0,"",SUM(H68:N68))</f>
        <v/>
      </c>
      <c r="P68" s="88"/>
      <c r="Q68" s="90"/>
    </row>
    <row r="69" customFormat="false" ht="12.75" hidden="false" customHeight="false" outlineLevel="0" collapsed="false">
      <c r="E69" s="117" t="n">
        <f aca="false">+DATE(YEAR(E68),MONTH(E68)+1,1)</f>
        <v>47727</v>
      </c>
      <c r="F69" s="118" t="e">
        <f aca="false">+VLOOKUP(E69,[1]!curvecalc,3,0)</f>
        <v>#N/A</v>
      </c>
      <c r="G69" s="119" t="n">
        <f aca="false">+IF(AND(startdate&lt;=E69,enddate&gt;=E69),1,0)</f>
        <v>0</v>
      </c>
      <c r="H69" s="120" t="str">
        <f aca="false">+IF($G69=0,"",(+VLOOKUP($E69,[1]!FIXED_CHARTER_COST,HLOOKUP(vessel_choice,[1]!FIXED_CHARTER_COST,2,0)+1,0)*roundtrip_days)/vessel_mmbtu)</f>
        <v/>
      </c>
      <c r="I69" s="120" t="str">
        <f aca="false">+IF($G69=0,"",(+VLOOKUP($E69,[1]!OM_CHARTER_COST,HLOOKUP(vessel_choice,[1]!OM_CHARTER_COST,2,0)+1,0)*roundtrip_days)/vessel_mmbtu)</f>
        <v/>
      </c>
      <c r="J69" s="120" t="str">
        <f aca="false">IF($G69=0,"",(INDEX([1]!bunker_cost,MATCH(route,[1]!bunker_cost_route,0),MATCH(vessel_choice,[1]!bunker_cost_ship,0))/vessel_mmbtu))</f>
        <v/>
      </c>
      <c r="K69" s="120" t="str">
        <f aca="false">IF($G69=0,"",(+INDEX([1]!PORT_CHARGES,MATCH(source,[1]!PORTS,0),MATCH(vessel,[1]!PORT_CHARGE_SHIPS,0))/vessel_mmbtu))</f>
        <v/>
      </c>
      <c r="L69" s="120" t="str">
        <f aca="false">IF($G69=0,"",(+INDEX([1]!PORT_CHARGES,MATCH(destination,[1]!PORTS,0),MATCH(vessel,[1]!PORT_CHARGE_SHIPS,0))/vessel_mmbtu))</f>
        <v/>
      </c>
      <c r="M69" s="120" t="str">
        <f aca="false">IF($G69=0,"",IF(route_choice=1,INDEX([1]!PORT_CHARGES,MATCH(suez,[1]!PORTS,0),MATCH(vessel,[1]!PORT_CHARGE_SHIPS,0)),0)/vessel_mmbtu)</f>
        <v/>
      </c>
      <c r="N69" s="120" t="str">
        <f aca="false">+IF(G69=0,"",+HLOOKUP(vessel,[1]!other_cost,3,0))</f>
        <v/>
      </c>
      <c r="O69" s="121" t="str">
        <f aca="false">+IF(G69=0,"",SUM(H69:N69))</f>
        <v/>
      </c>
      <c r="P69" s="88"/>
      <c r="Q69" s="90"/>
    </row>
    <row r="70" customFormat="false" ht="12.75" hidden="false" customHeight="false" outlineLevel="0" collapsed="false">
      <c r="E70" s="117" t="n">
        <f aca="false">+DATE(YEAR(E69),MONTH(E69)+1,1)</f>
        <v>47757</v>
      </c>
      <c r="F70" s="118" t="e">
        <f aca="false">+VLOOKUP(E70,[1]!curvecalc,3,0)</f>
        <v>#N/A</v>
      </c>
      <c r="G70" s="119" t="n">
        <f aca="false">+IF(AND(startdate&lt;=E70,enddate&gt;=E70),1,0)</f>
        <v>0</v>
      </c>
      <c r="H70" s="120" t="str">
        <f aca="false">+IF($G70=0,"",(+VLOOKUP($E70,[1]!FIXED_CHARTER_COST,HLOOKUP(vessel_choice,[1]!FIXED_CHARTER_COST,2,0)+1,0)*roundtrip_days)/vessel_mmbtu)</f>
        <v/>
      </c>
      <c r="I70" s="120" t="str">
        <f aca="false">+IF($G70=0,"",(+VLOOKUP($E70,[1]!OM_CHARTER_COST,HLOOKUP(vessel_choice,[1]!OM_CHARTER_COST,2,0)+1,0)*roundtrip_days)/vessel_mmbtu)</f>
        <v/>
      </c>
      <c r="J70" s="120" t="str">
        <f aca="false">IF($G70=0,"",(INDEX([1]!bunker_cost,MATCH(route,[1]!bunker_cost_route,0),MATCH(vessel_choice,[1]!bunker_cost_ship,0))/vessel_mmbtu))</f>
        <v/>
      </c>
      <c r="K70" s="120" t="str">
        <f aca="false">IF($G70=0,"",(+INDEX([1]!PORT_CHARGES,MATCH(source,[1]!PORTS,0),MATCH(vessel,[1]!PORT_CHARGE_SHIPS,0))/vessel_mmbtu))</f>
        <v/>
      </c>
      <c r="L70" s="120" t="str">
        <f aca="false">IF($G70=0,"",(+INDEX([1]!PORT_CHARGES,MATCH(destination,[1]!PORTS,0),MATCH(vessel,[1]!PORT_CHARGE_SHIPS,0))/vessel_mmbtu))</f>
        <v/>
      </c>
      <c r="M70" s="120" t="str">
        <f aca="false">IF($G70=0,"",IF(route_choice=1,INDEX([1]!PORT_CHARGES,MATCH(suez,[1]!PORTS,0),MATCH(vessel,[1]!PORT_CHARGE_SHIPS,0)),0)/vessel_mmbtu)</f>
        <v/>
      </c>
      <c r="N70" s="120" t="str">
        <f aca="false">+IF(G70=0,"",+HLOOKUP(vessel,[1]!other_cost,3,0))</f>
        <v/>
      </c>
      <c r="O70" s="121" t="str">
        <f aca="false">+IF(G70=0,"",SUM(H70:N70))</f>
        <v/>
      </c>
      <c r="P70" s="88"/>
      <c r="Q70" s="90"/>
    </row>
    <row r="71" customFormat="false" ht="12.75" hidden="false" customHeight="false" outlineLevel="0" collapsed="false">
      <c r="E71" s="117" t="n">
        <f aca="false">+DATE(YEAR(E70),MONTH(E70)+1,1)</f>
        <v>47788</v>
      </c>
      <c r="F71" s="118" t="e">
        <f aca="false">+VLOOKUP(E71,[1]!curvecalc,3,0)</f>
        <v>#N/A</v>
      </c>
      <c r="G71" s="119" t="n">
        <f aca="false">+IF(AND(startdate&lt;=E71,enddate&gt;=E71),1,0)</f>
        <v>0</v>
      </c>
      <c r="H71" s="120" t="str">
        <f aca="false">+IF($G71=0,"",(+VLOOKUP($E71,[1]!FIXED_CHARTER_COST,HLOOKUP(vessel_choice,[1]!FIXED_CHARTER_COST,2,0)+1,0)*roundtrip_days)/vessel_mmbtu)</f>
        <v/>
      </c>
      <c r="I71" s="120" t="str">
        <f aca="false">+IF($G71=0,"",(+VLOOKUP($E71,[1]!OM_CHARTER_COST,HLOOKUP(vessel_choice,[1]!OM_CHARTER_COST,2,0)+1,0)*roundtrip_days)/vessel_mmbtu)</f>
        <v/>
      </c>
      <c r="J71" s="120" t="str">
        <f aca="false">IF($G71=0,"",(INDEX([1]!bunker_cost,MATCH(route,[1]!bunker_cost_route,0),MATCH(vessel_choice,[1]!bunker_cost_ship,0))/vessel_mmbtu))</f>
        <v/>
      </c>
      <c r="K71" s="120" t="str">
        <f aca="false">IF($G71=0,"",(+INDEX([1]!PORT_CHARGES,MATCH(source,[1]!PORTS,0),MATCH(vessel,[1]!PORT_CHARGE_SHIPS,0))/vessel_mmbtu))</f>
        <v/>
      </c>
      <c r="L71" s="120" t="str">
        <f aca="false">IF($G71=0,"",(+INDEX([1]!PORT_CHARGES,MATCH(destination,[1]!PORTS,0),MATCH(vessel,[1]!PORT_CHARGE_SHIPS,0))/vessel_mmbtu))</f>
        <v/>
      </c>
      <c r="M71" s="120" t="str">
        <f aca="false">IF($G71=0,"",IF(route_choice=1,INDEX([1]!PORT_CHARGES,MATCH(suez,[1]!PORTS,0),MATCH(vessel,[1]!PORT_CHARGE_SHIPS,0)),0)/vessel_mmbtu)</f>
        <v/>
      </c>
      <c r="N71" s="120" t="str">
        <f aca="false">+IF(G71=0,"",+HLOOKUP(vessel,[1]!other_cost,3,0))</f>
        <v/>
      </c>
      <c r="O71" s="121" t="str">
        <f aca="false">+IF(G71=0,"",SUM(H71:N71))</f>
        <v/>
      </c>
      <c r="P71" s="88"/>
      <c r="Q71" s="90"/>
    </row>
    <row r="72" customFormat="false" ht="12.75" hidden="false" customHeight="false" outlineLevel="0" collapsed="false">
      <c r="E72" s="117" t="n">
        <f aca="false">+DATE(YEAR(E71),MONTH(E71)+1,1)</f>
        <v>47818</v>
      </c>
      <c r="F72" s="118" t="e">
        <f aca="false">+VLOOKUP(E72,[1]!curvecalc,3,0)</f>
        <v>#N/A</v>
      </c>
      <c r="G72" s="119" t="n">
        <f aca="false">+IF(AND(startdate&lt;=E72,enddate&gt;=E72),1,0)</f>
        <v>0</v>
      </c>
      <c r="H72" s="120" t="str">
        <f aca="false">+IF($G72=0,"",(+VLOOKUP($E72,[1]!FIXED_CHARTER_COST,HLOOKUP(vessel_choice,[1]!FIXED_CHARTER_COST,2,0)+1,0)*roundtrip_days)/vessel_mmbtu)</f>
        <v/>
      </c>
      <c r="I72" s="120" t="str">
        <f aca="false">+IF($G72=0,"",(+VLOOKUP($E72,[1]!OM_CHARTER_COST,HLOOKUP(vessel_choice,[1]!OM_CHARTER_COST,2,0)+1,0)*roundtrip_days)/vessel_mmbtu)</f>
        <v/>
      </c>
      <c r="J72" s="120" t="str">
        <f aca="false">IF($G72=0,"",(INDEX([1]!bunker_cost,MATCH(route,[1]!bunker_cost_route,0),MATCH(vessel_choice,[1]!bunker_cost_ship,0))/vessel_mmbtu))</f>
        <v/>
      </c>
      <c r="K72" s="120" t="str">
        <f aca="false">IF($G72=0,"",(+INDEX([1]!PORT_CHARGES,MATCH(source,[1]!PORTS,0),MATCH(vessel,[1]!PORT_CHARGE_SHIPS,0))/vessel_mmbtu))</f>
        <v/>
      </c>
      <c r="L72" s="120" t="str">
        <f aca="false">IF($G72=0,"",(+INDEX([1]!PORT_CHARGES,MATCH(destination,[1]!PORTS,0),MATCH(vessel,[1]!PORT_CHARGE_SHIPS,0))/vessel_mmbtu))</f>
        <v/>
      </c>
      <c r="M72" s="120" t="str">
        <f aca="false">IF($G72=0,"",IF(route_choice=1,INDEX([1]!PORT_CHARGES,MATCH(suez,[1]!PORTS,0),MATCH(vessel,[1]!PORT_CHARGE_SHIPS,0)),0)/vessel_mmbtu)</f>
        <v/>
      </c>
      <c r="N72" s="120" t="str">
        <f aca="false">+IF(G72=0,"",+HLOOKUP(vessel,[1]!other_cost,3,0))</f>
        <v/>
      </c>
      <c r="O72" s="121" t="str">
        <f aca="false">+IF(G72=0,"",SUM(H72:N72))</f>
        <v/>
      </c>
      <c r="P72" s="88"/>
      <c r="Q72" s="90"/>
    </row>
    <row r="73" customFormat="false" ht="12.75" hidden="false" customHeight="false" outlineLevel="0" collapsed="false">
      <c r="E73" s="117" t="n">
        <f aca="false">+DATE(YEAR(E72),MONTH(E72)+1,1)</f>
        <v>47849</v>
      </c>
      <c r="F73" s="118" t="e">
        <f aca="false">+VLOOKUP(E73,[1]!curvecalc,3,0)</f>
        <v>#N/A</v>
      </c>
      <c r="G73" s="119" t="n">
        <f aca="false">+IF(AND(startdate&lt;=E73,enddate&gt;=E73),1,0)</f>
        <v>0</v>
      </c>
      <c r="H73" s="120" t="str">
        <f aca="false">+IF($G73=0,"",(+VLOOKUP($E73,[1]!FIXED_CHARTER_COST,HLOOKUP(vessel_choice,[1]!FIXED_CHARTER_COST,2,0)+1,0)*roundtrip_days)/vessel_mmbtu)</f>
        <v/>
      </c>
      <c r="I73" s="120" t="str">
        <f aca="false">+IF($G73=0,"",(+VLOOKUP($E73,[1]!OM_CHARTER_COST,HLOOKUP(vessel_choice,[1]!OM_CHARTER_COST,2,0)+1,0)*roundtrip_days)/vessel_mmbtu)</f>
        <v/>
      </c>
      <c r="J73" s="120" t="str">
        <f aca="false">IF($G73=0,"",(INDEX([1]!bunker_cost,MATCH(route,[1]!bunker_cost_route,0),MATCH(vessel_choice,[1]!bunker_cost_ship,0))/vessel_mmbtu))</f>
        <v/>
      </c>
      <c r="K73" s="120" t="str">
        <f aca="false">IF($G73=0,"",(+INDEX([1]!PORT_CHARGES,MATCH(source,[1]!PORTS,0),MATCH(vessel,[1]!PORT_CHARGE_SHIPS,0))/vessel_mmbtu))</f>
        <v/>
      </c>
      <c r="L73" s="120" t="str">
        <f aca="false">IF($G73=0,"",(+INDEX([1]!PORT_CHARGES,MATCH(destination,[1]!PORTS,0),MATCH(vessel,[1]!PORT_CHARGE_SHIPS,0))/vessel_mmbtu))</f>
        <v/>
      </c>
      <c r="M73" s="120" t="str">
        <f aca="false">IF($G73=0,"",IF(route_choice=1,INDEX([1]!PORT_CHARGES,MATCH(suez,[1]!PORTS,0),MATCH(vessel,[1]!PORT_CHARGE_SHIPS,0)),0)/vessel_mmbtu)</f>
        <v/>
      </c>
      <c r="N73" s="120" t="str">
        <f aca="false">+IF(G73=0,"",+HLOOKUP(vessel,[1]!other_cost,3,0))</f>
        <v/>
      </c>
      <c r="O73" s="121" t="str">
        <f aca="false">+IF(G73=0,"",SUM(H73:N73))</f>
        <v/>
      </c>
      <c r="P73" s="88"/>
      <c r="Q73" s="90"/>
    </row>
    <row r="74" customFormat="false" ht="12.75" hidden="false" customHeight="false" outlineLevel="0" collapsed="false">
      <c r="E74" s="117" t="n">
        <f aca="false">+DATE(YEAR(E73),MONTH(E73)+1,1)</f>
        <v>47880</v>
      </c>
      <c r="F74" s="118" t="e">
        <f aca="false">+VLOOKUP(E74,[1]!curvecalc,3,0)</f>
        <v>#N/A</v>
      </c>
      <c r="G74" s="119" t="n">
        <f aca="false">+IF(AND(startdate&lt;=E74,enddate&gt;=E74),1,0)</f>
        <v>0</v>
      </c>
      <c r="H74" s="120" t="str">
        <f aca="false">+IF($G74=0,"",(+VLOOKUP($E74,[1]!FIXED_CHARTER_COST,HLOOKUP(vessel_choice,[1]!FIXED_CHARTER_COST,2,0)+1,0)*roundtrip_days)/vessel_mmbtu)</f>
        <v/>
      </c>
      <c r="I74" s="120" t="str">
        <f aca="false">+IF($G74=0,"",(+VLOOKUP($E74,[1]!OM_CHARTER_COST,HLOOKUP(vessel_choice,[1]!OM_CHARTER_COST,2,0)+1,0)*roundtrip_days)/vessel_mmbtu)</f>
        <v/>
      </c>
      <c r="J74" s="120" t="str">
        <f aca="false">IF($G74=0,"",(INDEX([1]!bunker_cost,MATCH(route,[1]!bunker_cost_route,0),MATCH(vessel_choice,[1]!bunker_cost_ship,0))/vessel_mmbtu))</f>
        <v/>
      </c>
      <c r="K74" s="120" t="str">
        <f aca="false">IF($G74=0,"",(+INDEX([1]!PORT_CHARGES,MATCH(source,[1]!PORTS,0),MATCH(vessel,[1]!PORT_CHARGE_SHIPS,0))/vessel_mmbtu))</f>
        <v/>
      </c>
      <c r="L74" s="120" t="str">
        <f aca="false">IF($G74=0,"",(+INDEX([1]!PORT_CHARGES,MATCH(destination,[1]!PORTS,0),MATCH(vessel,[1]!PORT_CHARGE_SHIPS,0))/vessel_mmbtu))</f>
        <v/>
      </c>
      <c r="M74" s="120" t="str">
        <f aca="false">IF($G74=0,"",IF(route_choice=1,INDEX([1]!PORT_CHARGES,MATCH(suez,[1]!PORTS,0),MATCH(vessel,[1]!PORT_CHARGE_SHIPS,0)),0)/vessel_mmbtu)</f>
        <v/>
      </c>
      <c r="N74" s="120" t="str">
        <f aca="false">+IF(G74=0,"",+HLOOKUP(vessel,[1]!other_cost,3,0))</f>
        <v/>
      </c>
      <c r="O74" s="121" t="str">
        <f aca="false">+IF(G74=0,"",SUM(H74:N74))</f>
        <v/>
      </c>
      <c r="P74" s="88"/>
      <c r="Q74" s="90"/>
    </row>
    <row r="75" customFormat="false" ht="12.75" hidden="false" customHeight="false" outlineLevel="0" collapsed="false">
      <c r="E75" s="117" t="n">
        <f aca="false">+DATE(YEAR(E74),MONTH(E74)+1,1)</f>
        <v>47908</v>
      </c>
      <c r="F75" s="118" t="e">
        <f aca="false">+VLOOKUP(E75,[1]!curvecalc,3,0)</f>
        <v>#N/A</v>
      </c>
      <c r="G75" s="119" t="n">
        <f aca="false">+IF(AND(startdate&lt;=E75,enddate&gt;=E75),1,0)</f>
        <v>0</v>
      </c>
      <c r="H75" s="120" t="str">
        <f aca="false">+IF($G75=0,"",(+VLOOKUP($E75,[1]!FIXED_CHARTER_COST,HLOOKUP(vessel_choice,[1]!FIXED_CHARTER_COST,2,0)+1,0)*roundtrip_days)/vessel_mmbtu)</f>
        <v/>
      </c>
      <c r="I75" s="120" t="str">
        <f aca="false">+IF($G75=0,"",(+VLOOKUP($E75,[1]!OM_CHARTER_COST,HLOOKUP(vessel_choice,[1]!OM_CHARTER_COST,2,0)+1,0)*roundtrip_days)/vessel_mmbtu)</f>
        <v/>
      </c>
      <c r="J75" s="120" t="str">
        <f aca="false">IF($G75=0,"",(INDEX([1]!bunker_cost,MATCH(route,[1]!bunker_cost_route,0),MATCH(vessel_choice,[1]!bunker_cost_ship,0))/vessel_mmbtu))</f>
        <v/>
      </c>
      <c r="K75" s="120" t="str">
        <f aca="false">IF($G75=0,"",(+INDEX([1]!PORT_CHARGES,MATCH(source,[1]!PORTS,0),MATCH(vessel,[1]!PORT_CHARGE_SHIPS,0))/vessel_mmbtu))</f>
        <v/>
      </c>
      <c r="L75" s="120" t="str">
        <f aca="false">IF($G75=0,"",(+INDEX([1]!PORT_CHARGES,MATCH(destination,[1]!PORTS,0),MATCH(vessel,[1]!PORT_CHARGE_SHIPS,0))/vessel_mmbtu))</f>
        <v/>
      </c>
      <c r="M75" s="120" t="str">
        <f aca="false">IF($G75=0,"",IF(route_choice=1,INDEX([1]!PORT_CHARGES,MATCH(suez,[1]!PORTS,0),MATCH(vessel,[1]!PORT_CHARGE_SHIPS,0)),0)/vessel_mmbtu)</f>
        <v/>
      </c>
      <c r="N75" s="120" t="str">
        <f aca="false">+IF(G75=0,"",+HLOOKUP(vessel,[1]!other_cost,3,0))</f>
        <v/>
      </c>
      <c r="O75" s="121" t="str">
        <f aca="false">+IF(G75=0,"",SUM(H75:N75))</f>
        <v/>
      </c>
      <c r="P75" s="88"/>
      <c r="Q75" s="90"/>
    </row>
    <row r="76" customFormat="false" ht="12.75" hidden="false" customHeight="false" outlineLevel="0" collapsed="false">
      <c r="E76" s="117" t="n">
        <f aca="false">+DATE(YEAR(E75),MONTH(E75)+1,1)</f>
        <v>47939</v>
      </c>
      <c r="F76" s="118" t="e">
        <f aca="false">+VLOOKUP(E76,[1]!curvecalc,3,0)</f>
        <v>#N/A</v>
      </c>
      <c r="G76" s="119" t="n">
        <f aca="false">+IF(AND(startdate&lt;=E76,enddate&gt;=E76),1,0)</f>
        <v>0</v>
      </c>
      <c r="H76" s="120" t="str">
        <f aca="false">+IF($G76=0,"",(+VLOOKUP($E76,[1]!FIXED_CHARTER_COST,HLOOKUP(vessel_choice,[1]!FIXED_CHARTER_COST,2,0)+1,0)*roundtrip_days)/vessel_mmbtu)</f>
        <v/>
      </c>
      <c r="I76" s="120" t="str">
        <f aca="false">+IF($G76=0,"",(+VLOOKUP($E76,[1]!OM_CHARTER_COST,HLOOKUP(vessel_choice,[1]!OM_CHARTER_COST,2,0)+1,0)*roundtrip_days)/vessel_mmbtu)</f>
        <v/>
      </c>
      <c r="J76" s="120" t="str">
        <f aca="false">IF($G76=0,"",(INDEX([1]!bunker_cost,MATCH(route,[1]!bunker_cost_route,0),MATCH(vessel_choice,[1]!bunker_cost_ship,0))/vessel_mmbtu))</f>
        <v/>
      </c>
      <c r="K76" s="120" t="str">
        <f aca="false">IF($G76=0,"",(+INDEX([1]!PORT_CHARGES,MATCH(source,[1]!PORTS,0),MATCH(vessel,[1]!PORT_CHARGE_SHIPS,0))/vessel_mmbtu))</f>
        <v/>
      </c>
      <c r="L76" s="120" t="str">
        <f aca="false">IF($G76=0,"",(+INDEX([1]!PORT_CHARGES,MATCH(destination,[1]!PORTS,0),MATCH(vessel,[1]!PORT_CHARGE_SHIPS,0))/vessel_mmbtu))</f>
        <v/>
      </c>
      <c r="M76" s="120" t="str">
        <f aca="false">IF($G76=0,"",IF(route_choice=1,INDEX([1]!PORT_CHARGES,MATCH(suez,[1]!PORTS,0),MATCH(vessel,[1]!PORT_CHARGE_SHIPS,0)),0)/vessel_mmbtu)</f>
        <v/>
      </c>
      <c r="N76" s="120" t="str">
        <f aca="false">+IF(G76=0,"",+HLOOKUP(vessel,[1]!other_cost,3,0))</f>
        <v/>
      </c>
      <c r="O76" s="121" t="str">
        <f aca="false">+IF(G76=0,"",SUM(H76:N76))</f>
        <v/>
      </c>
      <c r="P76" s="88"/>
      <c r="Q76" s="90"/>
    </row>
    <row r="77" customFormat="false" ht="12.75" hidden="false" customHeight="false" outlineLevel="0" collapsed="false">
      <c r="E77" s="117" t="n">
        <f aca="false">+DATE(YEAR(E76),MONTH(E76)+1,1)</f>
        <v>47969</v>
      </c>
      <c r="F77" s="118" t="e">
        <f aca="false">+VLOOKUP(E77,[1]!curvecalc,3,0)</f>
        <v>#N/A</v>
      </c>
      <c r="G77" s="119" t="n">
        <f aca="false">+IF(AND(startdate&lt;=E77,enddate&gt;=E77),1,0)</f>
        <v>0</v>
      </c>
      <c r="H77" s="120" t="str">
        <f aca="false">+IF($G77=0,"",(+VLOOKUP($E77,[1]!FIXED_CHARTER_COST,HLOOKUP(vessel_choice,[1]!FIXED_CHARTER_COST,2,0)+1,0)*roundtrip_days)/vessel_mmbtu)</f>
        <v/>
      </c>
      <c r="I77" s="120" t="str">
        <f aca="false">+IF($G77=0,"",(+VLOOKUP($E77,[1]!OM_CHARTER_COST,HLOOKUP(vessel_choice,[1]!OM_CHARTER_COST,2,0)+1,0)*roundtrip_days)/vessel_mmbtu)</f>
        <v/>
      </c>
      <c r="J77" s="120" t="str">
        <f aca="false">IF($G77=0,"",(INDEX([1]!bunker_cost,MATCH(route,[1]!bunker_cost_route,0),MATCH(vessel_choice,[1]!bunker_cost_ship,0))/vessel_mmbtu))</f>
        <v/>
      </c>
      <c r="K77" s="120" t="str">
        <f aca="false">IF($G77=0,"",(+INDEX([1]!PORT_CHARGES,MATCH(source,[1]!PORTS,0),MATCH(vessel,[1]!PORT_CHARGE_SHIPS,0))/vessel_mmbtu))</f>
        <v/>
      </c>
      <c r="L77" s="120" t="str">
        <f aca="false">IF($G77=0,"",(+INDEX([1]!PORT_CHARGES,MATCH(destination,[1]!PORTS,0),MATCH(vessel,[1]!PORT_CHARGE_SHIPS,0))/vessel_mmbtu))</f>
        <v/>
      </c>
      <c r="M77" s="120" t="str">
        <f aca="false">IF($G77=0,"",IF(route_choice=1,INDEX([1]!PORT_CHARGES,MATCH(suez,[1]!PORTS,0),MATCH(vessel,[1]!PORT_CHARGE_SHIPS,0)),0)/vessel_mmbtu)</f>
        <v/>
      </c>
      <c r="N77" s="120" t="str">
        <f aca="false">+IF(G77=0,"",+HLOOKUP(vessel,[1]!other_cost,3,0))</f>
        <v/>
      </c>
      <c r="O77" s="121" t="str">
        <f aca="false">+IF(G77=0,"",SUM(H77:N77))</f>
        <v/>
      </c>
      <c r="P77" s="88"/>
      <c r="Q77" s="90"/>
    </row>
    <row r="78" customFormat="false" ht="12.75" hidden="false" customHeight="false" outlineLevel="0" collapsed="false">
      <c r="E78" s="117" t="n">
        <f aca="false">+DATE(YEAR(E77),MONTH(E77)+1,1)</f>
        <v>48000</v>
      </c>
      <c r="F78" s="118" t="e">
        <f aca="false">+VLOOKUP(E78,[1]!curvecalc,3,0)</f>
        <v>#N/A</v>
      </c>
      <c r="G78" s="119" t="n">
        <f aca="false">+IF(AND(startdate&lt;=E78,enddate&gt;=E78),1,0)</f>
        <v>0</v>
      </c>
      <c r="H78" s="120" t="str">
        <f aca="false">+IF($G78=0,"",(+VLOOKUP($E78,[1]!FIXED_CHARTER_COST,HLOOKUP(vessel_choice,[1]!FIXED_CHARTER_COST,2,0)+1,0)*roundtrip_days)/vessel_mmbtu)</f>
        <v/>
      </c>
      <c r="I78" s="120" t="str">
        <f aca="false">+IF($G78=0,"",(+VLOOKUP($E78,[1]!OM_CHARTER_COST,HLOOKUP(vessel_choice,[1]!OM_CHARTER_COST,2,0)+1,0)*roundtrip_days)/vessel_mmbtu)</f>
        <v/>
      </c>
      <c r="J78" s="120" t="str">
        <f aca="false">IF($G78=0,"",(INDEX([1]!bunker_cost,MATCH(route,[1]!bunker_cost_route,0),MATCH(vessel_choice,[1]!bunker_cost_ship,0))/vessel_mmbtu))</f>
        <v/>
      </c>
      <c r="K78" s="120" t="str">
        <f aca="false">IF($G78=0,"",(+INDEX([1]!PORT_CHARGES,MATCH(source,[1]!PORTS,0),MATCH(vessel,[1]!PORT_CHARGE_SHIPS,0))/vessel_mmbtu))</f>
        <v/>
      </c>
      <c r="L78" s="120" t="str">
        <f aca="false">IF($G78=0,"",(+INDEX([1]!PORT_CHARGES,MATCH(destination,[1]!PORTS,0),MATCH(vessel,[1]!PORT_CHARGE_SHIPS,0))/vessel_mmbtu))</f>
        <v/>
      </c>
      <c r="M78" s="120" t="str">
        <f aca="false">IF($G78=0,"",IF(route_choice=1,INDEX([1]!PORT_CHARGES,MATCH(suez,[1]!PORTS,0),MATCH(vessel,[1]!PORT_CHARGE_SHIPS,0)),0)/vessel_mmbtu)</f>
        <v/>
      </c>
      <c r="N78" s="120" t="str">
        <f aca="false">+IF(G78=0,"",+HLOOKUP(vessel,[1]!other_cost,3,0))</f>
        <v/>
      </c>
      <c r="O78" s="121" t="str">
        <f aca="false">+IF(G78=0,"",SUM(H78:N78))</f>
        <v/>
      </c>
      <c r="P78" s="88"/>
      <c r="Q78" s="90"/>
    </row>
    <row r="79" customFormat="false" ht="12.75" hidden="false" customHeight="false" outlineLevel="0" collapsed="false">
      <c r="E79" s="117" t="n">
        <f aca="false">+DATE(YEAR(E78),MONTH(E78)+1,1)</f>
        <v>48030</v>
      </c>
      <c r="F79" s="118" t="e">
        <f aca="false">+VLOOKUP(E79,[1]!curvecalc,3,0)</f>
        <v>#N/A</v>
      </c>
      <c r="G79" s="119" t="n">
        <f aca="false">+IF(AND(startdate&lt;=E79,enddate&gt;=E79),1,0)</f>
        <v>0</v>
      </c>
      <c r="H79" s="120" t="str">
        <f aca="false">+IF($G79=0,"",(+VLOOKUP($E79,[1]!FIXED_CHARTER_COST,HLOOKUP(vessel_choice,[1]!FIXED_CHARTER_COST,2,0)+1,0)*roundtrip_days)/vessel_mmbtu)</f>
        <v/>
      </c>
      <c r="I79" s="120" t="str">
        <f aca="false">+IF($G79=0,"",(+VLOOKUP($E79,[1]!OM_CHARTER_COST,HLOOKUP(vessel_choice,[1]!OM_CHARTER_COST,2,0)+1,0)*roundtrip_days)/vessel_mmbtu)</f>
        <v/>
      </c>
      <c r="J79" s="120" t="str">
        <f aca="false">IF($G79=0,"",(INDEX([1]!bunker_cost,MATCH(route,[1]!bunker_cost_route,0),MATCH(vessel_choice,[1]!bunker_cost_ship,0))/vessel_mmbtu))</f>
        <v/>
      </c>
      <c r="K79" s="120" t="str">
        <f aca="false">IF($G79=0,"",(+INDEX([1]!PORT_CHARGES,MATCH(source,[1]!PORTS,0),MATCH(vessel,[1]!PORT_CHARGE_SHIPS,0))/vessel_mmbtu))</f>
        <v/>
      </c>
      <c r="L79" s="120" t="str">
        <f aca="false">IF($G79=0,"",(+INDEX([1]!PORT_CHARGES,MATCH(destination,[1]!PORTS,0),MATCH(vessel,[1]!PORT_CHARGE_SHIPS,0))/vessel_mmbtu))</f>
        <v/>
      </c>
      <c r="M79" s="120" t="str">
        <f aca="false">IF($G79=0,"",IF(route_choice=1,INDEX([1]!PORT_CHARGES,MATCH(suez,[1]!PORTS,0),MATCH(vessel,[1]!PORT_CHARGE_SHIPS,0)),0)/vessel_mmbtu)</f>
        <v/>
      </c>
      <c r="N79" s="120" t="str">
        <f aca="false">+IF(G79=0,"",+HLOOKUP(vessel,[1]!other_cost,3,0))</f>
        <v/>
      </c>
      <c r="O79" s="121" t="str">
        <f aca="false">+IF(G79=0,"",SUM(H79:N79))</f>
        <v/>
      </c>
      <c r="P79" s="88"/>
      <c r="Q79" s="90"/>
    </row>
    <row r="80" customFormat="false" ht="12.75" hidden="false" customHeight="false" outlineLevel="0" collapsed="false">
      <c r="E80" s="117" t="n">
        <f aca="false">+DATE(YEAR(E79),MONTH(E79)+1,1)</f>
        <v>48061</v>
      </c>
      <c r="F80" s="118" t="e">
        <f aca="false">+VLOOKUP(E80,[1]!curvecalc,3,0)</f>
        <v>#N/A</v>
      </c>
      <c r="G80" s="119" t="n">
        <f aca="false">+IF(AND(startdate&lt;=E80,enddate&gt;=E80),1,0)</f>
        <v>0</v>
      </c>
      <c r="H80" s="120" t="str">
        <f aca="false">+IF($G80=0,"",(+VLOOKUP($E80,[1]!FIXED_CHARTER_COST,HLOOKUP(vessel_choice,[1]!FIXED_CHARTER_COST,2,0)+1,0)*roundtrip_days)/vessel_mmbtu)</f>
        <v/>
      </c>
      <c r="I80" s="120" t="str">
        <f aca="false">+IF($G80=0,"",(+VLOOKUP($E80,[1]!OM_CHARTER_COST,HLOOKUP(vessel_choice,[1]!OM_CHARTER_COST,2,0)+1,0)*roundtrip_days)/vessel_mmbtu)</f>
        <v/>
      </c>
      <c r="J80" s="120" t="str">
        <f aca="false">IF($G80=0,"",(INDEX([1]!bunker_cost,MATCH(route,[1]!bunker_cost_route,0),MATCH(vessel_choice,[1]!bunker_cost_ship,0))/vessel_mmbtu))</f>
        <v/>
      </c>
      <c r="K80" s="120" t="str">
        <f aca="false">IF($G80=0,"",(+INDEX([1]!PORT_CHARGES,MATCH(source,[1]!PORTS,0),MATCH(vessel,[1]!PORT_CHARGE_SHIPS,0))/vessel_mmbtu))</f>
        <v/>
      </c>
      <c r="L80" s="120" t="str">
        <f aca="false">IF($G80=0,"",(+INDEX([1]!PORT_CHARGES,MATCH(destination,[1]!PORTS,0),MATCH(vessel,[1]!PORT_CHARGE_SHIPS,0))/vessel_mmbtu))</f>
        <v/>
      </c>
      <c r="M80" s="120" t="str">
        <f aca="false">IF($G80=0,"",IF(route_choice=1,INDEX([1]!PORT_CHARGES,MATCH(suez,[1]!PORTS,0),MATCH(vessel,[1]!PORT_CHARGE_SHIPS,0)),0)/vessel_mmbtu)</f>
        <v/>
      </c>
      <c r="N80" s="120" t="str">
        <f aca="false">+IF(G80=0,"",+HLOOKUP(vessel,[1]!other_cost,3,0))</f>
        <v/>
      </c>
      <c r="O80" s="121" t="str">
        <f aca="false">+IF(G80=0,"",SUM(H80:N80))</f>
        <v/>
      </c>
      <c r="P80" s="88"/>
      <c r="Q80" s="90"/>
    </row>
    <row r="81" customFormat="false" ht="12.75" hidden="false" customHeight="false" outlineLevel="0" collapsed="false">
      <c r="E81" s="117" t="n">
        <f aca="false">+DATE(YEAR(E80),MONTH(E80)+1,1)</f>
        <v>48092</v>
      </c>
      <c r="F81" s="118" t="e">
        <f aca="false">+VLOOKUP(E81,[1]!curvecalc,3,0)</f>
        <v>#N/A</v>
      </c>
      <c r="G81" s="119" t="n">
        <f aca="false">+IF(AND(startdate&lt;=E81,enddate&gt;=E81),1,0)</f>
        <v>0</v>
      </c>
      <c r="H81" s="120" t="str">
        <f aca="false">+IF($G81=0,"",(+VLOOKUP($E81,[1]!FIXED_CHARTER_COST,HLOOKUP(vessel_choice,[1]!FIXED_CHARTER_COST,2,0)+1,0)*roundtrip_days)/vessel_mmbtu)</f>
        <v/>
      </c>
      <c r="I81" s="120" t="str">
        <f aca="false">+IF($G81=0,"",(+VLOOKUP($E81,[1]!OM_CHARTER_COST,HLOOKUP(vessel_choice,[1]!OM_CHARTER_COST,2,0)+1,0)*roundtrip_days)/vessel_mmbtu)</f>
        <v/>
      </c>
      <c r="J81" s="120" t="str">
        <f aca="false">IF($G81=0,"",(INDEX([1]!bunker_cost,MATCH(route,[1]!bunker_cost_route,0),MATCH(vessel_choice,[1]!bunker_cost_ship,0))/vessel_mmbtu))</f>
        <v/>
      </c>
      <c r="K81" s="120" t="str">
        <f aca="false">IF($G81=0,"",(+INDEX([1]!PORT_CHARGES,MATCH(source,[1]!PORTS,0),MATCH(vessel,[1]!PORT_CHARGE_SHIPS,0))/vessel_mmbtu))</f>
        <v/>
      </c>
      <c r="L81" s="120" t="str">
        <f aca="false">IF($G81=0,"",(+INDEX([1]!PORT_CHARGES,MATCH(destination,[1]!PORTS,0),MATCH(vessel,[1]!PORT_CHARGE_SHIPS,0))/vessel_mmbtu))</f>
        <v/>
      </c>
      <c r="M81" s="120" t="str">
        <f aca="false">IF($G81=0,"",IF(route_choice=1,INDEX([1]!PORT_CHARGES,MATCH(suez,[1]!PORTS,0),MATCH(vessel,[1]!PORT_CHARGE_SHIPS,0)),0)/vessel_mmbtu)</f>
        <v/>
      </c>
      <c r="N81" s="120" t="str">
        <f aca="false">+IF(G81=0,"",+HLOOKUP(vessel,[1]!other_cost,3,0))</f>
        <v/>
      </c>
      <c r="O81" s="121" t="str">
        <f aca="false">+IF(G81=0,"",SUM(H81:N81))</f>
        <v/>
      </c>
      <c r="P81" s="88"/>
      <c r="Q81" s="90"/>
    </row>
    <row r="82" customFormat="false" ht="12.75" hidden="false" customHeight="false" outlineLevel="0" collapsed="false">
      <c r="E82" s="117" t="n">
        <f aca="false">+DATE(YEAR(E81),MONTH(E81)+1,1)</f>
        <v>48122</v>
      </c>
      <c r="F82" s="118" t="e">
        <f aca="false">+VLOOKUP(E82,[1]!curvecalc,3,0)</f>
        <v>#N/A</v>
      </c>
      <c r="G82" s="119" t="n">
        <f aca="false">+IF(AND(startdate&lt;=E82,enddate&gt;=E82),1,0)</f>
        <v>0</v>
      </c>
      <c r="H82" s="120" t="str">
        <f aca="false">+IF($G82=0,"",(+VLOOKUP($E82,[1]!FIXED_CHARTER_COST,HLOOKUP(vessel_choice,[1]!FIXED_CHARTER_COST,2,0)+1,0)*roundtrip_days)/vessel_mmbtu)</f>
        <v/>
      </c>
      <c r="I82" s="120" t="str">
        <f aca="false">+IF($G82=0,"",(+VLOOKUP($E82,[1]!OM_CHARTER_COST,HLOOKUP(vessel_choice,[1]!OM_CHARTER_COST,2,0)+1,0)*roundtrip_days)/vessel_mmbtu)</f>
        <v/>
      </c>
      <c r="J82" s="120" t="str">
        <f aca="false">IF($G82=0,"",(INDEX([1]!bunker_cost,MATCH(route,[1]!bunker_cost_route,0),MATCH(vessel_choice,[1]!bunker_cost_ship,0))/vessel_mmbtu))</f>
        <v/>
      </c>
      <c r="K82" s="120" t="str">
        <f aca="false">IF($G82=0,"",(+INDEX([1]!PORT_CHARGES,MATCH(source,[1]!PORTS,0),MATCH(vessel,[1]!PORT_CHARGE_SHIPS,0))/vessel_mmbtu))</f>
        <v/>
      </c>
      <c r="L82" s="120" t="str">
        <f aca="false">IF($G82=0,"",(+INDEX([1]!PORT_CHARGES,MATCH(destination,[1]!PORTS,0),MATCH(vessel,[1]!PORT_CHARGE_SHIPS,0))/vessel_mmbtu))</f>
        <v/>
      </c>
      <c r="M82" s="120" t="str">
        <f aca="false">IF($G82=0,"",IF(route_choice=1,INDEX([1]!PORT_CHARGES,MATCH(suez,[1]!PORTS,0),MATCH(vessel,[1]!PORT_CHARGE_SHIPS,0)),0)/vessel_mmbtu)</f>
        <v/>
      </c>
      <c r="N82" s="120" t="str">
        <f aca="false">+IF(G82=0,"",+HLOOKUP(vessel,[1]!other_cost,3,0))</f>
        <v/>
      </c>
      <c r="O82" s="121" t="str">
        <f aca="false">+IF(G82=0,"",SUM(H82:N82))</f>
        <v/>
      </c>
      <c r="P82" s="88"/>
      <c r="Q82" s="90"/>
    </row>
    <row r="83" customFormat="false" ht="12.75" hidden="false" customHeight="false" outlineLevel="0" collapsed="false">
      <c r="E83" s="117" t="n">
        <f aca="false">+DATE(YEAR(E82),MONTH(E82)+1,1)</f>
        <v>48153</v>
      </c>
      <c r="F83" s="118" t="e">
        <f aca="false">+VLOOKUP(E83,[1]!curvecalc,3,0)</f>
        <v>#N/A</v>
      </c>
      <c r="G83" s="119" t="n">
        <f aca="false">+IF(AND(startdate&lt;=E83,enddate&gt;=E83),1,0)</f>
        <v>0</v>
      </c>
      <c r="H83" s="120" t="str">
        <f aca="false">+IF($G83=0,"",(+VLOOKUP($E83,[1]!FIXED_CHARTER_COST,HLOOKUP(vessel_choice,[1]!FIXED_CHARTER_COST,2,0)+1,0)*roundtrip_days)/vessel_mmbtu)</f>
        <v/>
      </c>
      <c r="I83" s="120" t="str">
        <f aca="false">+IF($G83=0,"",(+VLOOKUP($E83,[1]!OM_CHARTER_COST,HLOOKUP(vessel_choice,[1]!OM_CHARTER_COST,2,0)+1,0)*roundtrip_days)/vessel_mmbtu)</f>
        <v/>
      </c>
      <c r="J83" s="120" t="str">
        <f aca="false">IF($G83=0,"",(INDEX([1]!bunker_cost,MATCH(route,[1]!bunker_cost_route,0),MATCH(vessel_choice,[1]!bunker_cost_ship,0))/vessel_mmbtu))</f>
        <v/>
      </c>
      <c r="K83" s="120" t="str">
        <f aca="false">IF($G83=0,"",(+INDEX([1]!PORT_CHARGES,MATCH(source,[1]!PORTS,0),MATCH(vessel,[1]!PORT_CHARGE_SHIPS,0))/vessel_mmbtu))</f>
        <v/>
      </c>
      <c r="L83" s="120" t="str">
        <f aca="false">IF($G83=0,"",(+INDEX([1]!PORT_CHARGES,MATCH(destination,[1]!PORTS,0),MATCH(vessel,[1]!PORT_CHARGE_SHIPS,0))/vessel_mmbtu))</f>
        <v/>
      </c>
      <c r="M83" s="120" t="str">
        <f aca="false">IF($G83=0,"",IF(route_choice=1,INDEX([1]!PORT_CHARGES,MATCH(suez,[1]!PORTS,0),MATCH(vessel,[1]!PORT_CHARGE_SHIPS,0)),0)/vessel_mmbtu)</f>
        <v/>
      </c>
      <c r="N83" s="120" t="str">
        <f aca="false">+IF(G83=0,"",+HLOOKUP(vessel,[1]!other_cost,3,0))</f>
        <v/>
      </c>
      <c r="O83" s="121" t="str">
        <f aca="false">+IF(G83=0,"",SUM(H83:N83))</f>
        <v/>
      </c>
      <c r="P83" s="88"/>
      <c r="Q83" s="90"/>
    </row>
    <row r="84" customFormat="false" ht="12.75" hidden="false" customHeight="false" outlineLevel="0" collapsed="false">
      <c r="E84" s="117" t="n">
        <f aca="false">+DATE(YEAR(E83),MONTH(E83)+1,1)</f>
        <v>48183</v>
      </c>
      <c r="F84" s="118" t="e">
        <f aca="false">+VLOOKUP(E84,[1]!curvecalc,3,0)</f>
        <v>#N/A</v>
      </c>
      <c r="G84" s="119" t="n">
        <f aca="false">+IF(AND(startdate&lt;=E84,enddate&gt;=E84),1,0)</f>
        <v>0</v>
      </c>
      <c r="H84" s="120" t="str">
        <f aca="false">+IF($G84=0,"",(+VLOOKUP($E84,[1]!FIXED_CHARTER_COST,HLOOKUP(vessel_choice,[1]!FIXED_CHARTER_COST,2,0)+1,0)*roundtrip_days)/vessel_mmbtu)</f>
        <v/>
      </c>
      <c r="I84" s="120" t="str">
        <f aca="false">+IF($G84=0,"",(+VLOOKUP($E84,[1]!OM_CHARTER_COST,HLOOKUP(vessel_choice,[1]!OM_CHARTER_COST,2,0)+1,0)*roundtrip_days)/vessel_mmbtu)</f>
        <v/>
      </c>
      <c r="J84" s="120" t="str">
        <f aca="false">IF($G84=0,"",(INDEX([1]!bunker_cost,MATCH(route,[1]!bunker_cost_route,0),MATCH(vessel_choice,[1]!bunker_cost_ship,0))/vessel_mmbtu))</f>
        <v/>
      </c>
      <c r="K84" s="120" t="str">
        <f aca="false">IF($G84=0,"",(+INDEX([1]!PORT_CHARGES,MATCH(source,[1]!PORTS,0),MATCH(vessel,[1]!PORT_CHARGE_SHIPS,0))/vessel_mmbtu))</f>
        <v/>
      </c>
      <c r="L84" s="120" t="str">
        <f aca="false">IF($G84=0,"",(+INDEX([1]!PORT_CHARGES,MATCH(destination,[1]!PORTS,0),MATCH(vessel,[1]!PORT_CHARGE_SHIPS,0))/vessel_mmbtu))</f>
        <v/>
      </c>
      <c r="M84" s="120" t="str">
        <f aca="false">IF($G84=0,"",IF(route_choice=1,INDEX([1]!PORT_CHARGES,MATCH(suez,[1]!PORTS,0),MATCH(vessel,[1]!PORT_CHARGE_SHIPS,0)),0)/vessel_mmbtu)</f>
        <v/>
      </c>
      <c r="N84" s="120" t="str">
        <f aca="false">+IF(G84=0,"",+HLOOKUP(vessel,[1]!other_cost,3,0))</f>
        <v/>
      </c>
      <c r="O84" s="121" t="str">
        <f aca="false">+IF(G84=0,"",SUM(H84:N84))</f>
        <v/>
      </c>
      <c r="P84" s="88"/>
      <c r="Q84" s="90"/>
    </row>
    <row r="85" customFormat="false" ht="12.75" hidden="false" customHeight="false" outlineLevel="0" collapsed="false">
      <c r="E85" s="117" t="n">
        <f aca="false">+DATE(YEAR(E84),MONTH(E84)+1,1)</f>
        <v>48214</v>
      </c>
      <c r="F85" s="118" t="e">
        <f aca="false">+VLOOKUP(E85,[1]!curvecalc,3,0)</f>
        <v>#N/A</v>
      </c>
      <c r="G85" s="119" t="n">
        <f aca="false">+IF(AND(startdate&lt;=E85,enddate&gt;=E85),1,0)</f>
        <v>0</v>
      </c>
      <c r="H85" s="120" t="str">
        <f aca="false">+IF($G85=0,"",(+VLOOKUP($E85,[1]!FIXED_CHARTER_COST,HLOOKUP(vessel_choice,[1]!FIXED_CHARTER_COST,2,0)+1,0)*roundtrip_days)/vessel_mmbtu)</f>
        <v/>
      </c>
      <c r="I85" s="120" t="str">
        <f aca="false">+IF($G85=0,"",(+VLOOKUP($E85,[1]!OM_CHARTER_COST,HLOOKUP(vessel_choice,[1]!OM_CHARTER_COST,2,0)+1,0)*roundtrip_days)/vessel_mmbtu)</f>
        <v/>
      </c>
      <c r="J85" s="120" t="str">
        <f aca="false">IF($G85=0,"",(INDEX([1]!bunker_cost,MATCH(route,[1]!bunker_cost_route,0),MATCH(vessel_choice,[1]!bunker_cost_ship,0))/vessel_mmbtu))</f>
        <v/>
      </c>
      <c r="K85" s="120" t="str">
        <f aca="false">IF($G85=0,"",(+INDEX([1]!PORT_CHARGES,MATCH(source,[1]!PORTS,0),MATCH(vessel,[1]!PORT_CHARGE_SHIPS,0))/vessel_mmbtu))</f>
        <v/>
      </c>
      <c r="L85" s="120" t="str">
        <f aca="false">IF($G85=0,"",(+INDEX([1]!PORT_CHARGES,MATCH(destination,[1]!PORTS,0),MATCH(vessel,[1]!PORT_CHARGE_SHIPS,0))/vessel_mmbtu))</f>
        <v/>
      </c>
      <c r="M85" s="120" t="str">
        <f aca="false">IF($G85=0,"",IF(route_choice=1,INDEX([1]!PORT_CHARGES,MATCH(suez,[1]!PORTS,0),MATCH(vessel,[1]!PORT_CHARGE_SHIPS,0)),0)/vessel_mmbtu)</f>
        <v/>
      </c>
      <c r="N85" s="120" t="str">
        <f aca="false">+IF(G85=0,"",+HLOOKUP(vessel,[1]!other_cost,3,0))</f>
        <v/>
      </c>
      <c r="O85" s="121" t="str">
        <f aca="false">+IF(G85=0,"",SUM(H85:N85))</f>
        <v/>
      </c>
      <c r="P85" s="88"/>
      <c r="Q85" s="90"/>
    </row>
    <row r="86" customFormat="false" ht="12.75" hidden="false" customHeight="false" outlineLevel="0" collapsed="false">
      <c r="E86" s="117" t="n">
        <f aca="false">+DATE(YEAR(E85),MONTH(E85)+1,1)</f>
        <v>48245</v>
      </c>
      <c r="F86" s="118" t="e">
        <f aca="false">+VLOOKUP(E86,[1]!curvecalc,3,0)</f>
        <v>#N/A</v>
      </c>
      <c r="G86" s="119" t="n">
        <f aca="false">+IF(AND(startdate&lt;=E86,enddate&gt;=E86),1,0)</f>
        <v>0</v>
      </c>
      <c r="H86" s="120" t="str">
        <f aca="false">+IF($G86=0,"",(+VLOOKUP($E86,[1]!FIXED_CHARTER_COST,HLOOKUP(vessel_choice,[1]!FIXED_CHARTER_COST,2,0)+1,0)*roundtrip_days)/vessel_mmbtu)</f>
        <v/>
      </c>
      <c r="I86" s="120" t="str">
        <f aca="false">+IF($G86=0,"",(+VLOOKUP($E86,[1]!OM_CHARTER_COST,HLOOKUP(vessel_choice,[1]!OM_CHARTER_COST,2,0)+1,0)*roundtrip_days)/vessel_mmbtu)</f>
        <v/>
      </c>
      <c r="J86" s="120" t="str">
        <f aca="false">IF($G86=0,"",(INDEX([1]!bunker_cost,MATCH(route,[1]!bunker_cost_route,0),MATCH(vessel_choice,[1]!bunker_cost_ship,0))/vessel_mmbtu))</f>
        <v/>
      </c>
      <c r="K86" s="120" t="str">
        <f aca="false">IF($G86=0,"",(+INDEX([1]!PORT_CHARGES,MATCH(source,[1]!PORTS,0),MATCH(vessel,[1]!PORT_CHARGE_SHIPS,0))/vessel_mmbtu))</f>
        <v/>
      </c>
      <c r="L86" s="120" t="str">
        <f aca="false">IF($G86=0,"",(+INDEX([1]!PORT_CHARGES,MATCH(destination,[1]!PORTS,0),MATCH(vessel,[1]!PORT_CHARGE_SHIPS,0))/vessel_mmbtu))</f>
        <v/>
      </c>
      <c r="M86" s="120" t="str">
        <f aca="false">IF($G86=0,"",IF(route_choice=1,INDEX([1]!PORT_CHARGES,MATCH(suez,[1]!PORTS,0),MATCH(vessel,[1]!PORT_CHARGE_SHIPS,0)),0)/vessel_mmbtu)</f>
        <v/>
      </c>
      <c r="N86" s="120" t="str">
        <f aca="false">+IF(G86=0,"",+HLOOKUP(vessel,[1]!other_cost,3,0))</f>
        <v/>
      </c>
      <c r="O86" s="121" t="str">
        <f aca="false">+IF(G86=0,"",SUM(H86:N86))</f>
        <v/>
      </c>
      <c r="P86" s="88"/>
      <c r="Q86" s="90"/>
    </row>
    <row r="87" customFormat="false" ht="12.75" hidden="false" customHeight="false" outlineLevel="0" collapsed="false">
      <c r="E87" s="117" t="n">
        <f aca="false">+DATE(YEAR(E86),MONTH(E86)+1,1)</f>
        <v>48274</v>
      </c>
      <c r="F87" s="118" t="e">
        <f aca="false">+VLOOKUP(E87,[1]!curvecalc,3,0)</f>
        <v>#N/A</v>
      </c>
      <c r="G87" s="119" t="n">
        <f aca="false">+IF(AND(startdate&lt;=E87,enddate&gt;=E87),1,0)</f>
        <v>0</v>
      </c>
      <c r="H87" s="120" t="str">
        <f aca="false">+IF($G87=0,"",(+VLOOKUP($E87,[1]!FIXED_CHARTER_COST,HLOOKUP(vessel_choice,[1]!FIXED_CHARTER_COST,2,0)+1,0)*roundtrip_days)/vessel_mmbtu)</f>
        <v/>
      </c>
      <c r="I87" s="120" t="str">
        <f aca="false">+IF($G87=0,"",(+VLOOKUP($E87,[1]!OM_CHARTER_COST,HLOOKUP(vessel_choice,[1]!OM_CHARTER_COST,2,0)+1,0)*roundtrip_days)/vessel_mmbtu)</f>
        <v/>
      </c>
      <c r="J87" s="120" t="str">
        <f aca="false">IF($G87=0,"",(INDEX([1]!bunker_cost,MATCH(route,[1]!bunker_cost_route,0),MATCH(vessel_choice,[1]!bunker_cost_ship,0))/vessel_mmbtu))</f>
        <v/>
      </c>
      <c r="K87" s="120" t="str">
        <f aca="false">IF($G87=0,"",(+INDEX([1]!PORT_CHARGES,MATCH(source,[1]!PORTS,0),MATCH(vessel,[1]!PORT_CHARGE_SHIPS,0))/vessel_mmbtu))</f>
        <v/>
      </c>
      <c r="L87" s="120" t="str">
        <f aca="false">IF($G87=0,"",(+INDEX([1]!PORT_CHARGES,MATCH(destination,[1]!PORTS,0),MATCH(vessel,[1]!PORT_CHARGE_SHIPS,0))/vessel_mmbtu))</f>
        <v/>
      </c>
      <c r="M87" s="120" t="str">
        <f aca="false">IF($G87=0,"",IF(route_choice=1,INDEX([1]!PORT_CHARGES,MATCH(suez,[1]!PORTS,0),MATCH(vessel,[1]!PORT_CHARGE_SHIPS,0)),0)/vessel_mmbtu)</f>
        <v/>
      </c>
      <c r="N87" s="120" t="str">
        <f aca="false">+IF(G87=0,"",+HLOOKUP(vessel,[1]!other_cost,3,0))</f>
        <v/>
      </c>
      <c r="O87" s="121" t="str">
        <f aca="false">+IF(G87=0,"",SUM(H87:N87))</f>
        <v/>
      </c>
      <c r="P87" s="88"/>
      <c r="Q87" s="90"/>
    </row>
    <row r="88" customFormat="false" ht="12.75" hidden="false" customHeight="false" outlineLevel="0" collapsed="false">
      <c r="E88" s="117" t="n">
        <f aca="false">+DATE(YEAR(E87),MONTH(E87)+1,1)</f>
        <v>48305</v>
      </c>
      <c r="F88" s="118" t="e">
        <f aca="false">+VLOOKUP(E88,[1]!curvecalc,3,0)</f>
        <v>#N/A</v>
      </c>
      <c r="G88" s="119" t="n">
        <f aca="false">+IF(AND(startdate&lt;=E88,enddate&gt;=E88),1,0)</f>
        <v>0</v>
      </c>
      <c r="H88" s="120" t="str">
        <f aca="false">+IF($G88=0,"",(+VLOOKUP($E88,[1]!FIXED_CHARTER_COST,HLOOKUP(vessel_choice,[1]!FIXED_CHARTER_COST,2,0)+1,0)*roundtrip_days)/vessel_mmbtu)</f>
        <v/>
      </c>
      <c r="I88" s="120" t="str">
        <f aca="false">+IF($G88=0,"",(+VLOOKUP($E88,[1]!OM_CHARTER_COST,HLOOKUP(vessel_choice,[1]!OM_CHARTER_COST,2,0)+1,0)*roundtrip_days)/vessel_mmbtu)</f>
        <v/>
      </c>
      <c r="J88" s="120" t="str">
        <f aca="false">IF($G88=0,"",(INDEX([1]!bunker_cost,MATCH(route,[1]!bunker_cost_route,0),MATCH(vessel_choice,[1]!bunker_cost_ship,0))/vessel_mmbtu))</f>
        <v/>
      </c>
      <c r="K88" s="120" t="str">
        <f aca="false">IF($G88=0,"",(+INDEX([1]!PORT_CHARGES,MATCH(source,[1]!PORTS,0),MATCH(vessel,[1]!PORT_CHARGE_SHIPS,0))/vessel_mmbtu))</f>
        <v/>
      </c>
      <c r="L88" s="120" t="str">
        <f aca="false">IF($G88=0,"",(+INDEX([1]!PORT_CHARGES,MATCH(destination,[1]!PORTS,0),MATCH(vessel,[1]!PORT_CHARGE_SHIPS,0))/vessel_mmbtu))</f>
        <v/>
      </c>
      <c r="M88" s="120" t="str">
        <f aca="false">IF($G88=0,"",IF(route_choice=1,INDEX([1]!PORT_CHARGES,MATCH(suez,[1]!PORTS,0),MATCH(vessel,[1]!PORT_CHARGE_SHIPS,0)),0)/vessel_mmbtu)</f>
        <v/>
      </c>
      <c r="N88" s="120" t="str">
        <f aca="false">+IF(G88=0,"",+HLOOKUP(vessel,[1]!other_cost,3,0))</f>
        <v/>
      </c>
      <c r="O88" s="121" t="str">
        <f aca="false">+IF(G88=0,"",SUM(H88:N88))</f>
        <v/>
      </c>
      <c r="P88" s="88"/>
      <c r="Q88" s="90"/>
    </row>
    <row r="89" customFormat="false" ht="12.75" hidden="false" customHeight="false" outlineLevel="0" collapsed="false">
      <c r="E89" s="117" t="n">
        <f aca="false">+DATE(YEAR(E88),MONTH(E88)+1,1)</f>
        <v>48335</v>
      </c>
      <c r="F89" s="118" t="e">
        <f aca="false">+VLOOKUP(E89,[1]!curvecalc,3,0)</f>
        <v>#N/A</v>
      </c>
      <c r="G89" s="119" t="n">
        <f aca="false">+IF(AND(startdate&lt;=E89,enddate&gt;=E89),1,0)</f>
        <v>0</v>
      </c>
      <c r="H89" s="120" t="str">
        <f aca="false">+IF($G89=0,"",(+VLOOKUP($E89,[1]!FIXED_CHARTER_COST,HLOOKUP(vessel_choice,[1]!FIXED_CHARTER_COST,2,0)+1,0)*roundtrip_days)/vessel_mmbtu)</f>
        <v/>
      </c>
      <c r="I89" s="120" t="str">
        <f aca="false">+IF($G89=0,"",(+VLOOKUP($E89,[1]!OM_CHARTER_COST,HLOOKUP(vessel_choice,[1]!OM_CHARTER_COST,2,0)+1,0)*roundtrip_days)/vessel_mmbtu)</f>
        <v/>
      </c>
      <c r="J89" s="120" t="str">
        <f aca="false">IF($G89=0,"",(INDEX([1]!bunker_cost,MATCH(route,[1]!bunker_cost_route,0),MATCH(vessel_choice,[1]!bunker_cost_ship,0))/vessel_mmbtu))</f>
        <v/>
      </c>
      <c r="K89" s="120" t="str">
        <f aca="false">IF($G89=0,"",(+INDEX([1]!PORT_CHARGES,MATCH(source,[1]!PORTS,0),MATCH(vessel,[1]!PORT_CHARGE_SHIPS,0))/vessel_mmbtu))</f>
        <v/>
      </c>
      <c r="L89" s="120" t="str">
        <f aca="false">IF($G89=0,"",(+INDEX([1]!PORT_CHARGES,MATCH(destination,[1]!PORTS,0),MATCH(vessel,[1]!PORT_CHARGE_SHIPS,0))/vessel_mmbtu))</f>
        <v/>
      </c>
      <c r="M89" s="120" t="str">
        <f aca="false">IF($G89=0,"",IF(route_choice=1,INDEX([1]!PORT_CHARGES,MATCH(suez,[1]!PORTS,0),MATCH(vessel,[1]!PORT_CHARGE_SHIPS,0)),0)/vessel_mmbtu)</f>
        <v/>
      </c>
      <c r="N89" s="120" t="str">
        <f aca="false">+IF(G89=0,"",+HLOOKUP(vessel,[1]!other_cost,3,0))</f>
        <v/>
      </c>
      <c r="O89" s="121" t="str">
        <f aca="false">+IF(G89=0,"",SUM(H89:N89))</f>
        <v/>
      </c>
      <c r="P89" s="88"/>
      <c r="Q89" s="90"/>
    </row>
    <row r="90" customFormat="false" ht="12.75" hidden="false" customHeight="false" outlineLevel="0" collapsed="false">
      <c r="E90" s="117" t="n">
        <f aca="false">+DATE(YEAR(E89),MONTH(E89)+1,1)</f>
        <v>48366</v>
      </c>
      <c r="F90" s="118" t="e">
        <f aca="false">+VLOOKUP(E90,[1]!curvecalc,3,0)</f>
        <v>#N/A</v>
      </c>
      <c r="G90" s="119" t="n">
        <f aca="false">+IF(AND(startdate&lt;=E90,enddate&gt;=E90),1,0)</f>
        <v>0</v>
      </c>
      <c r="H90" s="120" t="str">
        <f aca="false">+IF($G90=0,"",(+VLOOKUP($E90,[1]!FIXED_CHARTER_COST,HLOOKUP(vessel_choice,[1]!FIXED_CHARTER_COST,2,0)+1,0)*roundtrip_days)/vessel_mmbtu)</f>
        <v/>
      </c>
      <c r="I90" s="120" t="str">
        <f aca="false">+IF($G90=0,"",(+VLOOKUP($E90,[1]!OM_CHARTER_COST,HLOOKUP(vessel_choice,[1]!OM_CHARTER_COST,2,0)+1,0)*roundtrip_days)/vessel_mmbtu)</f>
        <v/>
      </c>
      <c r="J90" s="120" t="str">
        <f aca="false">IF($G90=0,"",(INDEX([1]!bunker_cost,MATCH(route,[1]!bunker_cost_route,0),MATCH(vessel_choice,[1]!bunker_cost_ship,0))/vessel_mmbtu))</f>
        <v/>
      </c>
      <c r="K90" s="120" t="str">
        <f aca="false">IF($G90=0,"",(+INDEX([1]!PORT_CHARGES,MATCH(source,[1]!PORTS,0),MATCH(vessel,[1]!PORT_CHARGE_SHIPS,0))/vessel_mmbtu))</f>
        <v/>
      </c>
      <c r="L90" s="120" t="str">
        <f aca="false">IF($G90=0,"",(+INDEX([1]!PORT_CHARGES,MATCH(destination,[1]!PORTS,0),MATCH(vessel,[1]!PORT_CHARGE_SHIPS,0))/vessel_mmbtu))</f>
        <v/>
      </c>
      <c r="M90" s="120" t="str">
        <f aca="false">IF($G90=0,"",IF(route_choice=1,INDEX([1]!PORT_CHARGES,MATCH(suez,[1]!PORTS,0),MATCH(vessel,[1]!PORT_CHARGE_SHIPS,0)),0)/vessel_mmbtu)</f>
        <v/>
      </c>
      <c r="N90" s="120" t="str">
        <f aca="false">+IF(G90=0,"",+HLOOKUP(vessel,[1]!other_cost,3,0))</f>
        <v/>
      </c>
      <c r="O90" s="121" t="str">
        <f aca="false">+IF(G90=0,"",SUM(H90:N90))</f>
        <v/>
      </c>
      <c r="P90" s="88"/>
      <c r="Q90" s="90"/>
    </row>
    <row r="91" customFormat="false" ht="12.75" hidden="false" customHeight="false" outlineLevel="0" collapsed="false">
      <c r="E91" s="117" t="n">
        <f aca="false">+DATE(YEAR(E90),MONTH(E90)+1,1)</f>
        <v>48396</v>
      </c>
      <c r="F91" s="118" t="e">
        <f aca="false">+VLOOKUP(E91,[1]!curvecalc,3,0)</f>
        <v>#N/A</v>
      </c>
      <c r="G91" s="119" t="n">
        <f aca="false">+IF(AND(startdate&lt;=E91,enddate&gt;=E91),1,0)</f>
        <v>0</v>
      </c>
      <c r="H91" s="120" t="str">
        <f aca="false">+IF($G91=0,"",(+VLOOKUP($E91,[1]!FIXED_CHARTER_COST,HLOOKUP(vessel_choice,[1]!FIXED_CHARTER_COST,2,0)+1,0)*roundtrip_days)/vessel_mmbtu)</f>
        <v/>
      </c>
      <c r="I91" s="120" t="str">
        <f aca="false">+IF($G91=0,"",(+VLOOKUP($E91,[1]!OM_CHARTER_COST,HLOOKUP(vessel_choice,[1]!OM_CHARTER_COST,2,0)+1,0)*roundtrip_days)/vessel_mmbtu)</f>
        <v/>
      </c>
      <c r="J91" s="120" t="str">
        <f aca="false">IF($G91=0,"",(INDEX([1]!bunker_cost,MATCH(route,[1]!bunker_cost_route,0),MATCH(vessel_choice,[1]!bunker_cost_ship,0))/vessel_mmbtu))</f>
        <v/>
      </c>
      <c r="K91" s="120" t="str">
        <f aca="false">IF($G91=0,"",(+INDEX([1]!PORT_CHARGES,MATCH(source,[1]!PORTS,0),MATCH(vessel,[1]!PORT_CHARGE_SHIPS,0))/vessel_mmbtu))</f>
        <v/>
      </c>
      <c r="L91" s="120" t="str">
        <f aca="false">IF($G91=0,"",(+INDEX([1]!PORT_CHARGES,MATCH(destination,[1]!PORTS,0),MATCH(vessel,[1]!PORT_CHARGE_SHIPS,0))/vessel_mmbtu))</f>
        <v/>
      </c>
      <c r="M91" s="120" t="str">
        <f aca="false">IF($G91=0,"",IF(route_choice=1,INDEX([1]!PORT_CHARGES,MATCH(suez,[1]!PORTS,0),MATCH(vessel,[1]!PORT_CHARGE_SHIPS,0)),0)/vessel_mmbtu)</f>
        <v/>
      </c>
      <c r="N91" s="120" t="str">
        <f aca="false">+IF(G91=0,"",+HLOOKUP(vessel,[1]!other_cost,3,0))</f>
        <v/>
      </c>
      <c r="O91" s="121" t="str">
        <f aca="false">+IF(G91=0,"",SUM(H91:N91))</f>
        <v/>
      </c>
      <c r="P91" s="88"/>
      <c r="Q91" s="90"/>
    </row>
    <row r="92" customFormat="false" ht="12.75" hidden="false" customHeight="false" outlineLevel="0" collapsed="false">
      <c r="E92" s="117" t="n">
        <f aca="false">+DATE(YEAR(E91),MONTH(E91)+1,1)</f>
        <v>48427</v>
      </c>
      <c r="F92" s="118" t="e">
        <f aca="false">+VLOOKUP(E92,[1]!curvecalc,3,0)</f>
        <v>#N/A</v>
      </c>
      <c r="G92" s="119" t="n">
        <f aca="false">+IF(AND(startdate&lt;=E92,enddate&gt;=E92),1,0)</f>
        <v>0</v>
      </c>
      <c r="H92" s="120" t="str">
        <f aca="false">+IF($G92=0,"",(+VLOOKUP($E92,[1]!FIXED_CHARTER_COST,HLOOKUP(vessel_choice,[1]!FIXED_CHARTER_COST,2,0)+1,0)*roundtrip_days)/vessel_mmbtu)</f>
        <v/>
      </c>
      <c r="I92" s="120" t="str">
        <f aca="false">+IF($G92=0,"",(+VLOOKUP($E92,[1]!OM_CHARTER_COST,HLOOKUP(vessel_choice,[1]!OM_CHARTER_COST,2,0)+1,0)*roundtrip_days)/vessel_mmbtu)</f>
        <v/>
      </c>
      <c r="J92" s="120" t="str">
        <f aca="false">IF($G92=0,"",(INDEX([1]!bunker_cost,MATCH(route,[1]!bunker_cost_route,0),MATCH(vessel_choice,[1]!bunker_cost_ship,0))/vessel_mmbtu))</f>
        <v/>
      </c>
      <c r="K92" s="120" t="str">
        <f aca="false">IF($G92=0,"",(+INDEX([1]!PORT_CHARGES,MATCH(source,[1]!PORTS,0),MATCH(vessel,[1]!PORT_CHARGE_SHIPS,0))/vessel_mmbtu))</f>
        <v/>
      </c>
      <c r="L92" s="120" t="str">
        <f aca="false">IF($G92=0,"",(+INDEX([1]!PORT_CHARGES,MATCH(destination,[1]!PORTS,0),MATCH(vessel,[1]!PORT_CHARGE_SHIPS,0))/vessel_mmbtu))</f>
        <v/>
      </c>
      <c r="M92" s="120" t="str">
        <f aca="false">IF($G92=0,"",IF(route_choice=1,INDEX([1]!PORT_CHARGES,MATCH(suez,[1]!PORTS,0),MATCH(vessel,[1]!PORT_CHARGE_SHIPS,0)),0)/vessel_mmbtu)</f>
        <v/>
      </c>
      <c r="N92" s="120" t="str">
        <f aca="false">+IF(G92=0,"",+HLOOKUP(vessel,[1]!other_cost,3,0))</f>
        <v/>
      </c>
      <c r="O92" s="121" t="str">
        <f aca="false">+IF(G92=0,"",SUM(H92:N92))</f>
        <v/>
      </c>
      <c r="P92" s="88"/>
      <c r="Q92" s="90"/>
    </row>
    <row r="93" customFormat="false" ht="12.75" hidden="false" customHeight="false" outlineLevel="0" collapsed="false">
      <c r="E93" s="117" t="n">
        <f aca="false">+DATE(YEAR(E92),MONTH(E92)+1,1)</f>
        <v>48458</v>
      </c>
      <c r="F93" s="118" t="e">
        <f aca="false">+VLOOKUP(E93,[1]!curvecalc,3,0)</f>
        <v>#N/A</v>
      </c>
      <c r="G93" s="119" t="n">
        <f aca="false">+IF(AND(startdate&lt;=E93,enddate&gt;=E93),1,0)</f>
        <v>0</v>
      </c>
      <c r="H93" s="120" t="str">
        <f aca="false">+IF($G93=0,"",(+VLOOKUP($E93,[1]!FIXED_CHARTER_COST,HLOOKUP(vessel_choice,[1]!FIXED_CHARTER_COST,2,0)+1,0)*roundtrip_days)/vessel_mmbtu)</f>
        <v/>
      </c>
      <c r="I93" s="120" t="str">
        <f aca="false">+IF($G93=0,"",(+VLOOKUP($E93,[1]!OM_CHARTER_COST,HLOOKUP(vessel_choice,[1]!OM_CHARTER_COST,2,0)+1,0)*roundtrip_days)/vessel_mmbtu)</f>
        <v/>
      </c>
      <c r="J93" s="120" t="str">
        <f aca="false">IF($G93=0,"",(INDEX([1]!bunker_cost,MATCH(route,[1]!bunker_cost_route,0),MATCH(vessel_choice,[1]!bunker_cost_ship,0))/vessel_mmbtu))</f>
        <v/>
      </c>
      <c r="K93" s="120" t="str">
        <f aca="false">IF($G93=0,"",(+INDEX([1]!PORT_CHARGES,MATCH(source,[1]!PORTS,0),MATCH(vessel,[1]!PORT_CHARGE_SHIPS,0))/vessel_mmbtu))</f>
        <v/>
      </c>
      <c r="L93" s="120" t="str">
        <f aca="false">IF($G93=0,"",(+INDEX([1]!PORT_CHARGES,MATCH(destination,[1]!PORTS,0),MATCH(vessel,[1]!PORT_CHARGE_SHIPS,0))/vessel_mmbtu))</f>
        <v/>
      </c>
      <c r="M93" s="120" t="str">
        <f aca="false">IF($G93=0,"",IF(route_choice=1,INDEX([1]!PORT_CHARGES,MATCH(suez,[1]!PORTS,0),MATCH(vessel,[1]!PORT_CHARGE_SHIPS,0)),0)/vessel_mmbtu)</f>
        <v/>
      </c>
      <c r="N93" s="120" t="str">
        <f aca="false">+IF(G93=0,"",+HLOOKUP(vessel,[1]!other_cost,3,0))</f>
        <v/>
      </c>
      <c r="O93" s="121" t="str">
        <f aca="false">+IF(G93=0,"",SUM(H93:N93))</f>
        <v/>
      </c>
      <c r="P93" s="88"/>
      <c r="Q93" s="90"/>
    </row>
    <row r="94" customFormat="false" ht="12.75" hidden="false" customHeight="false" outlineLevel="0" collapsed="false">
      <c r="E94" s="117" t="n">
        <f aca="false">+DATE(YEAR(E93),MONTH(E93)+1,1)</f>
        <v>48488</v>
      </c>
      <c r="F94" s="118" t="e">
        <f aca="false">+VLOOKUP(E94,[1]!curvecalc,3,0)</f>
        <v>#N/A</v>
      </c>
      <c r="G94" s="119" t="n">
        <f aca="false">+IF(AND(startdate&lt;=E94,enddate&gt;=E94),1,0)</f>
        <v>0</v>
      </c>
      <c r="H94" s="120" t="str">
        <f aca="false">+IF($G94=0,"",(+VLOOKUP($E94,[1]!FIXED_CHARTER_COST,HLOOKUP(vessel_choice,[1]!FIXED_CHARTER_COST,2,0)+1,0)*roundtrip_days)/vessel_mmbtu)</f>
        <v/>
      </c>
      <c r="I94" s="120" t="str">
        <f aca="false">+IF($G94=0,"",(+VLOOKUP($E94,[1]!OM_CHARTER_COST,HLOOKUP(vessel_choice,[1]!OM_CHARTER_COST,2,0)+1,0)*roundtrip_days)/vessel_mmbtu)</f>
        <v/>
      </c>
      <c r="J94" s="120" t="str">
        <f aca="false">IF($G94=0,"",(INDEX([1]!bunker_cost,MATCH(route,[1]!bunker_cost_route,0),MATCH(vessel_choice,[1]!bunker_cost_ship,0))/vessel_mmbtu))</f>
        <v/>
      </c>
      <c r="K94" s="120" t="str">
        <f aca="false">IF($G94=0,"",(+INDEX([1]!PORT_CHARGES,MATCH(source,[1]!PORTS,0),MATCH(vessel,[1]!PORT_CHARGE_SHIPS,0))/vessel_mmbtu))</f>
        <v/>
      </c>
      <c r="L94" s="120" t="str">
        <f aca="false">IF($G94=0,"",(+INDEX([1]!PORT_CHARGES,MATCH(destination,[1]!PORTS,0),MATCH(vessel,[1]!PORT_CHARGE_SHIPS,0))/vessel_mmbtu))</f>
        <v/>
      </c>
      <c r="M94" s="120" t="str">
        <f aca="false">IF($G94=0,"",IF(route_choice=1,INDEX([1]!PORT_CHARGES,MATCH(suez,[1]!PORTS,0),MATCH(vessel,[1]!PORT_CHARGE_SHIPS,0)),0)/vessel_mmbtu)</f>
        <v/>
      </c>
      <c r="N94" s="120" t="str">
        <f aca="false">+IF(G94=0,"",+HLOOKUP(vessel,[1]!other_cost,3,0))</f>
        <v/>
      </c>
      <c r="O94" s="121" t="str">
        <f aca="false">+IF(G94=0,"",SUM(H94:N94))</f>
        <v/>
      </c>
      <c r="P94" s="88"/>
      <c r="Q94" s="90"/>
    </row>
    <row r="95" customFormat="false" ht="12.75" hidden="false" customHeight="false" outlineLevel="0" collapsed="false">
      <c r="E95" s="117" t="n">
        <f aca="false">+DATE(YEAR(E94),MONTH(E94)+1,1)</f>
        <v>48519</v>
      </c>
      <c r="F95" s="118" t="e">
        <f aca="false">+VLOOKUP(E95,[1]!curvecalc,3,0)</f>
        <v>#N/A</v>
      </c>
      <c r="G95" s="119" t="n">
        <f aca="false">+IF(AND(startdate&lt;=E95,enddate&gt;=E95),1,0)</f>
        <v>0</v>
      </c>
      <c r="H95" s="120" t="str">
        <f aca="false">+IF($G95=0,"",(+VLOOKUP($E95,[1]!FIXED_CHARTER_COST,HLOOKUP(vessel_choice,[1]!FIXED_CHARTER_COST,2,0)+1,0)*roundtrip_days)/vessel_mmbtu)</f>
        <v/>
      </c>
      <c r="I95" s="120" t="str">
        <f aca="false">+IF($G95=0,"",(+VLOOKUP($E95,[1]!OM_CHARTER_COST,HLOOKUP(vessel_choice,[1]!OM_CHARTER_COST,2,0)+1,0)*roundtrip_days)/vessel_mmbtu)</f>
        <v/>
      </c>
      <c r="J95" s="120" t="str">
        <f aca="false">IF($G95=0,"",(INDEX([1]!bunker_cost,MATCH(route,[1]!bunker_cost_route,0),MATCH(vessel_choice,[1]!bunker_cost_ship,0))/vessel_mmbtu))</f>
        <v/>
      </c>
      <c r="K95" s="120" t="str">
        <f aca="false">IF($G95=0,"",(+INDEX([1]!PORT_CHARGES,MATCH(source,[1]!PORTS,0),MATCH(vessel,[1]!PORT_CHARGE_SHIPS,0))/vessel_mmbtu))</f>
        <v/>
      </c>
      <c r="L95" s="120" t="str">
        <f aca="false">IF($G95=0,"",(+INDEX([1]!PORT_CHARGES,MATCH(destination,[1]!PORTS,0),MATCH(vessel,[1]!PORT_CHARGE_SHIPS,0))/vessel_mmbtu))</f>
        <v/>
      </c>
      <c r="M95" s="120" t="str">
        <f aca="false">IF($G95=0,"",IF(route_choice=1,INDEX([1]!PORT_CHARGES,MATCH(suez,[1]!PORTS,0),MATCH(vessel,[1]!PORT_CHARGE_SHIPS,0)),0)/vessel_mmbtu)</f>
        <v/>
      </c>
      <c r="N95" s="120" t="str">
        <f aca="false">+IF(G95=0,"",+HLOOKUP(vessel,[1]!other_cost,3,0))</f>
        <v/>
      </c>
      <c r="O95" s="121" t="str">
        <f aca="false">+IF(G95=0,"",SUM(H95:N95))</f>
        <v/>
      </c>
      <c r="P95" s="88"/>
      <c r="Q95" s="90"/>
    </row>
    <row r="96" customFormat="false" ht="12.75" hidden="false" customHeight="false" outlineLevel="0" collapsed="false">
      <c r="E96" s="117" t="n">
        <f aca="false">+DATE(YEAR(E95),MONTH(E95)+1,1)</f>
        <v>48549</v>
      </c>
      <c r="F96" s="118" t="e">
        <f aca="false">+VLOOKUP(E96,[1]!curvecalc,3,0)</f>
        <v>#N/A</v>
      </c>
      <c r="G96" s="119" t="n">
        <f aca="false">+IF(AND(startdate&lt;=E96,enddate&gt;=E96),1,0)</f>
        <v>0</v>
      </c>
      <c r="H96" s="120" t="str">
        <f aca="false">+IF($G96=0,"",(+VLOOKUP($E96,[1]!FIXED_CHARTER_COST,HLOOKUP(vessel_choice,[1]!FIXED_CHARTER_COST,2,0)+1,0)*roundtrip_days)/vessel_mmbtu)</f>
        <v/>
      </c>
      <c r="I96" s="120" t="str">
        <f aca="false">+IF($G96=0,"",(+VLOOKUP($E96,[1]!OM_CHARTER_COST,HLOOKUP(vessel_choice,[1]!OM_CHARTER_COST,2,0)+1,0)*roundtrip_days)/vessel_mmbtu)</f>
        <v/>
      </c>
      <c r="J96" s="120" t="str">
        <f aca="false">IF($G96=0,"",(INDEX([1]!bunker_cost,MATCH(route,[1]!bunker_cost_route,0),MATCH(vessel_choice,[1]!bunker_cost_ship,0))/vessel_mmbtu))</f>
        <v/>
      </c>
      <c r="K96" s="120" t="str">
        <f aca="false">IF($G96=0,"",(+INDEX([1]!PORT_CHARGES,MATCH(source,[1]!PORTS,0),MATCH(vessel,[1]!PORT_CHARGE_SHIPS,0))/vessel_mmbtu))</f>
        <v/>
      </c>
      <c r="L96" s="120" t="str">
        <f aca="false">IF($G96=0,"",(+INDEX([1]!PORT_CHARGES,MATCH(destination,[1]!PORTS,0),MATCH(vessel,[1]!PORT_CHARGE_SHIPS,0))/vessel_mmbtu))</f>
        <v/>
      </c>
      <c r="M96" s="120" t="str">
        <f aca="false">IF($G96=0,"",IF(route_choice=1,INDEX([1]!PORT_CHARGES,MATCH(suez,[1]!PORTS,0),MATCH(vessel,[1]!PORT_CHARGE_SHIPS,0)),0)/vessel_mmbtu)</f>
        <v/>
      </c>
      <c r="N96" s="120" t="str">
        <f aca="false">+IF(G96=0,"",+HLOOKUP(vessel,[1]!other_cost,3,0))</f>
        <v/>
      </c>
      <c r="O96" s="121" t="str">
        <f aca="false">+IF(G96=0,"",SUM(H96:N96))</f>
        <v/>
      </c>
      <c r="P96" s="88"/>
      <c r="Q96" s="90"/>
    </row>
    <row r="97" customFormat="false" ht="12.75" hidden="false" customHeight="false" outlineLevel="0" collapsed="false">
      <c r="E97" s="117" t="n">
        <f aca="false">+DATE(YEAR(E96),MONTH(E96)+1,1)</f>
        <v>48580</v>
      </c>
      <c r="F97" s="118" t="e">
        <f aca="false">+VLOOKUP(E97,[1]!curvecalc,3,0)</f>
        <v>#N/A</v>
      </c>
      <c r="G97" s="119" t="n">
        <f aca="false">+IF(AND(startdate&lt;=E97,enddate&gt;=E97),1,0)</f>
        <v>0</v>
      </c>
      <c r="H97" s="120" t="str">
        <f aca="false">+IF($G97=0,"",(+VLOOKUP($E97,[1]!FIXED_CHARTER_COST,HLOOKUP(vessel_choice,[1]!FIXED_CHARTER_COST,2,0)+1,0)*roundtrip_days)/vessel_mmbtu)</f>
        <v/>
      </c>
      <c r="I97" s="120" t="str">
        <f aca="false">+IF($G97=0,"",(+VLOOKUP($E97,[1]!OM_CHARTER_COST,HLOOKUP(vessel_choice,[1]!OM_CHARTER_COST,2,0)+1,0)*roundtrip_days)/vessel_mmbtu)</f>
        <v/>
      </c>
      <c r="J97" s="120" t="str">
        <f aca="false">IF($G97=0,"",(INDEX([1]!bunker_cost,MATCH(route,[1]!bunker_cost_route,0),MATCH(vessel_choice,[1]!bunker_cost_ship,0))/vessel_mmbtu))</f>
        <v/>
      </c>
      <c r="K97" s="120" t="str">
        <f aca="false">IF($G97=0,"",(+INDEX([1]!PORT_CHARGES,MATCH(source,[1]!PORTS,0),MATCH(vessel,[1]!PORT_CHARGE_SHIPS,0))/vessel_mmbtu))</f>
        <v/>
      </c>
      <c r="L97" s="120" t="str">
        <f aca="false">IF($G97=0,"",(+INDEX([1]!PORT_CHARGES,MATCH(destination,[1]!PORTS,0),MATCH(vessel,[1]!PORT_CHARGE_SHIPS,0))/vessel_mmbtu))</f>
        <v/>
      </c>
      <c r="M97" s="120" t="str">
        <f aca="false">IF($G97=0,"",IF(route_choice=1,INDEX([1]!PORT_CHARGES,MATCH(suez,[1]!PORTS,0),MATCH(vessel,[1]!PORT_CHARGE_SHIPS,0)),0)/vessel_mmbtu)</f>
        <v/>
      </c>
      <c r="N97" s="120" t="str">
        <f aca="false">+IF(G97=0,"",+HLOOKUP(vessel,[1]!other_cost,3,0))</f>
        <v/>
      </c>
      <c r="O97" s="121" t="str">
        <f aca="false">+IF(G97=0,"",SUM(H97:N97))</f>
        <v/>
      </c>
      <c r="P97" s="88"/>
      <c r="Q97" s="90"/>
    </row>
    <row r="98" customFormat="false" ht="12.75" hidden="false" customHeight="false" outlineLevel="0" collapsed="false">
      <c r="E98" s="117" t="n">
        <f aca="false">+DATE(YEAR(E97),MONTH(E97)+1,1)</f>
        <v>48611</v>
      </c>
      <c r="F98" s="118" t="e">
        <f aca="false">+VLOOKUP(E98,[1]!curvecalc,3,0)</f>
        <v>#N/A</v>
      </c>
      <c r="G98" s="119" t="n">
        <f aca="false">+IF(AND(startdate&lt;=E98,enddate&gt;=E98),1,0)</f>
        <v>0</v>
      </c>
      <c r="H98" s="120" t="str">
        <f aca="false">+IF($G98=0,"",(+VLOOKUP($E98,[1]!FIXED_CHARTER_COST,HLOOKUP(vessel_choice,[1]!FIXED_CHARTER_COST,2,0)+1,0)*roundtrip_days)/vessel_mmbtu)</f>
        <v/>
      </c>
      <c r="I98" s="120" t="str">
        <f aca="false">+IF($G98=0,"",(+VLOOKUP($E98,[1]!OM_CHARTER_COST,HLOOKUP(vessel_choice,[1]!OM_CHARTER_COST,2,0)+1,0)*roundtrip_days)/vessel_mmbtu)</f>
        <v/>
      </c>
      <c r="J98" s="120" t="str">
        <f aca="false">IF($G98=0,"",(INDEX([1]!bunker_cost,MATCH(route,[1]!bunker_cost_route,0),MATCH(vessel_choice,[1]!bunker_cost_ship,0))/vessel_mmbtu))</f>
        <v/>
      </c>
      <c r="K98" s="120" t="str">
        <f aca="false">IF($G98=0,"",(+INDEX([1]!PORT_CHARGES,MATCH(source,[1]!PORTS,0),MATCH(vessel,[1]!PORT_CHARGE_SHIPS,0))/vessel_mmbtu))</f>
        <v/>
      </c>
      <c r="L98" s="120" t="str">
        <f aca="false">IF($G98=0,"",(+INDEX([1]!PORT_CHARGES,MATCH(destination,[1]!PORTS,0),MATCH(vessel,[1]!PORT_CHARGE_SHIPS,0))/vessel_mmbtu))</f>
        <v/>
      </c>
      <c r="M98" s="120" t="str">
        <f aca="false">IF($G98=0,"",IF(route_choice=1,INDEX([1]!PORT_CHARGES,MATCH(suez,[1]!PORTS,0),MATCH(vessel,[1]!PORT_CHARGE_SHIPS,0)),0)/vessel_mmbtu)</f>
        <v/>
      </c>
      <c r="N98" s="120" t="str">
        <f aca="false">+IF(G98=0,"",+HLOOKUP(vessel,[1]!other_cost,3,0))</f>
        <v/>
      </c>
      <c r="O98" s="121" t="str">
        <f aca="false">+IF(G98=0,"",SUM(H98:N98))</f>
        <v/>
      </c>
      <c r="P98" s="88"/>
      <c r="Q98" s="90"/>
    </row>
    <row r="99" customFormat="false" ht="12.75" hidden="false" customHeight="false" outlineLevel="0" collapsed="false">
      <c r="E99" s="117" t="n">
        <f aca="false">+DATE(YEAR(E98),MONTH(E98)+1,1)</f>
        <v>48639</v>
      </c>
      <c r="F99" s="118" t="e">
        <f aca="false">+VLOOKUP(E99,[1]!curvecalc,3,0)</f>
        <v>#N/A</v>
      </c>
      <c r="G99" s="119" t="n">
        <f aca="false">+IF(AND(startdate&lt;=E99,enddate&gt;=E99),1,0)</f>
        <v>0</v>
      </c>
      <c r="H99" s="120" t="str">
        <f aca="false">+IF($G99=0,"",(+VLOOKUP($E99,[1]!FIXED_CHARTER_COST,HLOOKUP(vessel_choice,[1]!FIXED_CHARTER_COST,2,0)+1,0)*roundtrip_days)/vessel_mmbtu)</f>
        <v/>
      </c>
      <c r="I99" s="120" t="str">
        <f aca="false">+IF($G99=0,"",(+VLOOKUP($E99,[1]!OM_CHARTER_COST,HLOOKUP(vessel_choice,[1]!OM_CHARTER_COST,2,0)+1,0)*roundtrip_days)/vessel_mmbtu)</f>
        <v/>
      </c>
      <c r="J99" s="120" t="str">
        <f aca="false">IF($G99=0,"",(INDEX([1]!bunker_cost,MATCH(route,[1]!bunker_cost_route,0),MATCH(vessel_choice,[1]!bunker_cost_ship,0))/vessel_mmbtu))</f>
        <v/>
      </c>
      <c r="K99" s="120" t="str">
        <f aca="false">IF($G99=0,"",(+INDEX([1]!PORT_CHARGES,MATCH(source,[1]!PORTS,0),MATCH(vessel,[1]!PORT_CHARGE_SHIPS,0))/vessel_mmbtu))</f>
        <v/>
      </c>
      <c r="L99" s="120" t="str">
        <f aca="false">IF($G99=0,"",(+INDEX([1]!PORT_CHARGES,MATCH(destination,[1]!PORTS,0),MATCH(vessel,[1]!PORT_CHARGE_SHIPS,0))/vessel_mmbtu))</f>
        <v/>
      </c>
      <c r="M99" s="120" t="str">
        <f aca="false">IF($G99=0,"",IF(route_choice=1,INDEX([1]!PORT_CHARGES,MATCH(suez,[1]!PORTS,0),MATCH(vessel,[1]!PORT_CHARGE_SHIPS,0)),0)/vessel_mmbtu)</f>
        <v/>
      </c>
      <c r="N99" s="120" t="str">
        <f aca="false">+IF(G99=0,"",+HLOOKUP(vessel,[1]!other_cost,3,0))</f>
        <v/>
      </c>
      <c r="O99" s="121" t="str">
        <f aca="false">+IF(G99=0,"",SUM(H99:N99))</f>
        <v/>
      </c>
      <c r="P99" s="88"/>
      <c r="Q99" s="90"/>
    </row>
    <row r="100" customFormat="false" ht="12.75" hidden="false" customHeight="false" outlineLevel="0" collapsed="false">
      <c r="E100" s="117" t="n">
        <f aca="false">+DATE(YEAR(E99),MONTH(E99)+1,1)</f>
        <v>48670</v>
      </c>
      <c r="F100" s="118" t="e">
        <f aca="false">+VLOOKUP(E100,[1]!curvecalc,3,0)</f>
        <v>#N/A</v>
      </c>
      <c r="G100" s="119" t="n">
        <f aca="false">+IF(AND(startdate&lt;=E100,enddate&gt;=E100),1,0)</f>
        <v>0</v>
      </c>
      <c r="H100" s="120" t="str">
        <f aca="false">+IF($G100=0,"",(+VLOOKUP($E100,[1]!FIXED_CHARTER_COST,HLOOKUP(vessel_choice,[1]!FIXED_CHARTER_COST,2,0)+1,0)*roundtrip_days)/vessel_mmbtu)</f>
        <v/>
      </c>
      <c r="I100" s="120" t="str">
        <f aca="false">+IF($G100=0,"",(+VLOOKUP($E100,[1]!OM_CHARTER_COST,HLOOKUP(vessel_choice,[1]!OM_CHARTER_COST,2,0)+1,0)*roundtrip_days)/vessel_mmbtu)</f>
        <v/>
      </c>
      <c r="J100" s="120" t="str">
        <f aca="false">IF($G100=0,"",(INDEX([1]!bunker_cost,MATCH(route,[1]!bunker_cost_route,0),MATCH(vessel_choice,[1]!bunker_cost_ship,0))/vessel_mmbtu))</f>
        <v/>
      </c>
      <c r="K100" s="120" t="str">
        <f aca="false">IF($G100=0,"",(+INDEX([1]!PORT_CHARGES,MATCH(source,[1]!PORTS,0),MATCH(vessel,[1]!PORT_CHARGE_SHIPS,0))/vessel_mmbtu))</f>
        <v/>
      </c>
      <c r="L100" s="120" t="str">
        <f aca="false">IF($G100=0,"",(+INDEX([1]!PORT_CHARGES,MATCH(destination,[1]!PORTS,0),MATCH(vessel,[1]!PORT_CHARGE_SHIPS,0))/vessel_mmbtu))</f>
        <v/>
      </c>
      <c r="M100" s="120" t="str">
        <f aca="false">IF($G100=0,"",IF(route_choice=1,INDEX([1]!PORT_CHARGES,MATCH(suez,[1]!PORTS,0),MATCH(vessel,[1]!PORT_CHARGE_SHIPS,0)),0)/vessel_mmbtu)</f>
        <v/>
      </c>
      <c r="N100" s="120" t="str">
        <f aca="false">+IF(G100=0,"",+HLOOKUP(vessel,[1]!other_cost,3,0))</f>
        <v/>
      </c>
      <c r="O100" s="121" t="str">
        <f aca="false">+IF(G100=0,"",SUM(H100:N100))</f>
        <v/>
      </c>
      <c r="P100" s="88"/>
      <c r="Q100" s="90"/>
    </row>
    <row r="101" customFormat="false" ht="12.75" hidden="false" customHeight="false" outlineLevel="0" collapsed="false">
      <c r="E101" s="117" t="n">
        <f aca="false">+DATE(YEAR(E100),MONTH(E100)+1,1)</f>
        <v>48700</v>
      </c>
      <c r="F101" s="118" t="e">
        <f aca="false">+VLOOKUP(E101,[1]!curvecalc,3,0)</f>
        <v>#N/A</v>
      </c>
      <c r="G101" s="119" t="n">
        <f aca="false">+IF(AND(startdate&lt;=E101,enddate&gt;=E101),1,0)</f>
        <v>0</v>
      </c>
      <c r="H101" s="120" t="str">
        <f aca="false">+IF($G101=0,"",(+VLOOKUP($E101,[1]!FIXED_CHARTER_COST,HLOOKUP(vessel_choice,[1]!FIXED_CHARTER_COST,2,0)+1,0)*roundtrip_days)/vessel_mmbtu)</f>
        <v/>
      </c>
      <c r="I101" s="120" t="str">
        <f aca="false">+IF($G101=0,"",(+VLOOKUP($E101,[1]!OM_CHARTER_COST,HLOOKUP(vessel_choice,[1]!OM_CHARTER_COST,2,0)+1,0)*roundtrip_days)/vessel_mmbtu)</f>
        <v/>
      </c>
      <c r="J101" s="120" t="str">
        <f aca="false">IF($G101=0,"",(INDEX([1]!bunker_cost,MATCH(route,[1]!bunker_cost_route,0),MATCH(vessel_choice,[1]!bunker_cost_ship,0))/vessel_mmbtu))</f>
        <v/>
      </c>
      <c r="K101" s="120" t="str">
        <f aca="false">IF($G101=0,"",(+INDEX([1]!PORT_CHARGES,MATCH(source,[1]!PORTS,0),MATCH(vessel,[1]!PORT_CHARGE_SHIPS,0))/vessel_mmbtu))</f>
        <v/>
      </c>
      <c r="L101" s="120" t="str">
        <f aca="false">IF($G101=0,"",(+INDEX([1]!PORT_CHARGES,MATCH(destination,[1]!PORTS,0),MATCH(vessel,[1]!PORT_CHARGE_SHIPS,0))/vessel_mmbtu))</f>
        <v/>
      </c>
      <c r="M101" s="120" t="str">
        <f aca="false">IF($G101=0,"",IF(route_choice=1,INDEX([1]!PORT_CHARGES,MATCH(suez,[1]!PORTS,0),MATCH(vessel,[1]!PORT_CHARGE_SHIPS,0)),0)/vessel_mmbtu)</f>
        <v/>
      </c>
      <c r="N101" s="120" t="str">
        <f aca="false">+IF(G101=0,"",+HLOOKUP(vessel,[1]!other_cost,3,0))</f>
        <v/>
      </c>
      <c r="O101" s="121" t="str">
        <f aca="false">+IF(G101=0,"",SUM(H101:N101))</f>
        <v/>
      </c>
      <c r="P101" s="88"/>
      <c r="Q101" s="90"/>
    </row>
    <row r="102" customFormat="false" ht="12.75" hidden="false" customHeight="false" outlineLevel="0" collapsed="false">
      <c r="E102" s="117" t="n">
        <f aca="false">+DATE(YEAR(E101),MONTH(E101)+1,1)</f>
        <v>48731</v>
      </c>
      <c r="F102" s="118" t="e">
        <f aca="false">+VLOOKUP(E102,[1]!curvecalc,3,0)</f>
        <v>#N/A</v>
      </c>
      <c r="G102" s="119" t="n">
        <f aca="false">+IF(AND(startdate&lt;=E102,enddate&gt;=E102),1,0)</f>
        <v>0</v>
      </c>
      <c r="H102" s="120" t="str">
        <f aca="false">+IF($G102=0,"",(+VLOOKUP($E102,[1]!FIXED_CHARTER_COST,HLOOKUP(vessel_choice,[1]!FIXED_CHARTER_COST,2,0)+1,0)*roundtrip_days)/vessel_mmbtu)</f>
        <v/>
      </c>
      <c r="I102" s="120" t="str">
        <f aca="false">+IF($G102=0,"",(+VLOOKUP($E102,[1]!OM_CHARTER_COST,HLOOKUP(vessel_choice,[1]!OM_CHARTER_COST,2,0)+1,0)*roundtrip_days)/vessel_mmbtu)</f>
        <v/>
      </c>
      <c r="J102" s="120" t="str">
        <f aca="false">IF($G102=0,"",(INDEX([1]!bunker_cost,MATCH(route,[1]!bunker_cost_route,0),MATCH(vessel_choice,[1]!bunker_cost_ship,0))/vessel_mmbtu))</f>
        <v/>
      </c>
      <c r="K102" s="120" t="str">
        <f aca="false">IF($G102=0,"",(+INDEX([1]!PORT_CHARGES,MATCH(source,[1]!PORTS,0),MATCH(vessel,[1]!PORT_CHARGE_SHIPS,0))/vessel_mmbtu))</f>
        <v/>
      </c>
      <c r="L102" s="120" t="str">
        <f aca="false">IF($G102=0,"",(+INDEX([1]!PORT_CHARGES,MATCH(destination,[1]!PORTS,0),MATCH(vessel,[1]!PORT_CHARGE_SHIPS,0))/vessel_mmbtu))</f>
        <v/>
      </c>
      <c r="M102" s="120" t="str">
        <f aca="false">IF($G102=0,"",IF(route_choice=1,INDEX([1]!PORT_CHARGES,MATCH(suez,[1]!PORTS,0),MATCH(vessel,[1]!PORT_CHARGE_SHIPS,0)),0)/vessel_mmbtu)</f>
        <v/>
      </c>
      <c r="N102" s="120" t="str">
        <f aca="false">+IF(G102=0,"",+HLOOKUP(vessel,[1]!other_cost,3,0))</f>
        <v/>
      </c>
      <c r="O102" s="121" t="str">
        <f aca="false">+IF(G102=0,"",SUM(H102:N102))</f>
        <v/>
      </c>
      <c r="P102" s="88"/>
      <c r="Q102" s="90"/>
    </row>
    <row r="103" customFormat="false" ht="12.75" hidden="false" customHeight="false" outlineLevel="0" collapsed="false">
      <c r="E103" s="117" t="n">
        <f aca="false">+DATE(YEAR(E102),MONTH(E102)+1,1)</f>
        <v>48761</v>
      </c>
      <c r="F103" s="118" t="e">
        <f aca="false">+VLOOKUP(E103,[1]!curvecalc,3,0)</f>
        <v>#N/A</v>
      </c>
      <c r="G103" s="119" t="n">
        <f aca="false">+IF(AND(startdate&lt;=E103,enddate&gt;=E103),1,0)</f>
        <v>0</v>
      </c>
      <c r="H103" s="120" t="str">
        <f aca="false">+IF($G103=0,"",(+VLOOKUP($E103,[1]!FIXED_CHARTER_COST,HLOOKUP(vessel_choice,[1]!FIXED_CHARTER_COST,2,0)+1,0)*roundtrip_days)/vessel_mmbtu)</f>
        <v/>
      </c>
      <c r="I103" s="120" t="str">
        <f aca="false">+IF($G103=0,"",(+VLOOKUP($E103,[1]!OM_CHARTER_COST,HLOOKUP(vessel_choice,[1]!OM_CHARTER_COST,2,0)+1,0)*roundtrip_days)/vessel_mmbtu)</f>
        <v/>
      </c>
      <c r="J103" s="120" t="str">
        <f aca="false">IF($G103=0,"",(INDEX([1]!bunker_cost,MATCH(route,[1]!bunker_cost_route,0),MATCH(vessel_choice,[1]!bunker_cost_ship,0))/vessel_mmbtu))</f>
        <v/>
      </c>
      <c r="K103" s="120" t="str">
        <f aca="false">IF($G103=0,"",(+INDEX([1]!PORT_CHARGES,MATCH(source,[1]!PORTS,0),MATCH(vessel,[1]!PORT_CHARGE_SHIPS,0))/vessel_mmbtu))</f>
        <v/>
      </c>
      <c r="L103" s="120" t="str">
        <f aca="false">IF($G103=0,"",(+INDEX([1]!PORT_CHARGES,MATCH(destination,[1]!PORTS,0),MATCH(vessel,[1]!PORT_CHARGE_SHIPS,0))/vessel_mmbtu))</f>
        <v/>
      </c>
      <c r="M103" s="120" t="str">
        <f aca="false">IF($G103=0,"",IF(route_choice=1,INDEX([1]!PORT_CHARGES,MATCH(suez,[1]!PORTS,0),MATCH(vessel,[1]!PORT_CHARGE_SHIPS,0)),0)/vessel_mmbtu)</f>
        <v/>
      </c>
      <c r="N103" s="120" t="str">
        <f aca="false">+IF(G103=0,"",+HLOOKUP(vessel,[1]!other_cost,3,0))</f>
        <v/>
      </c>
      <c r="O103" s="121" t="str">
        <f aca="false">+IF(G103=0,"",SUM(H103:N103))</f>
        <v/>
      </c>
      <c r="P103" s="88"/>
      <c r="Q103" s="90"/>
    </row>
    <row r="104" customFormat="false" ht="12.75" hidden="false" customHeight="false" outlineLevel="0" collapsed="false">
      <c r="E104" s="117" t="n">
        <f aca="false">+DATE(YEAR(E103),MONTH(E103)+1,1)</f>
        <v>48792</v>
      </c>
      <c r="F104" s="118" t="e">
        <f aca="false">+VLOOKUP(E104,[1]!curvecalc,3,0)</f>
        <v>#N/A</v>
      </c>
      <c r="G104" s="119" t="n">
        <f aca="false">+IF(AND(startdate&lt;=E104,enddate&gt;=E104),1,0)</f>
        <v>0</v>
      </c>
      <c r="H104" s="120" t="str">
        <f aca="false">+IF($G104=0,"",(+VLOOKUP($E104,[1]!FIXED_CHARTER_COST,HLOOKUP(vessel_choice,[1]!FIXED_CHARTER_COST,2,0)+1,0)*roundtrip_days)/vessel_mmbtu)</f>
        <v/>
      </c>
      <c r="I104" s="120" t="str">
        <f aca="false">+IF($G104=0,"",(+VLOOKUP($E104,[1]!OM_CHARTER_COST,HLOOKUP(vessel_choice,[1]!OM_CHARTER_COST,2,0)+1,0)*roundtrip_days)/vessel_mmbtu)</f>
        <v/>
      </c>
      <c r="J104" s="120" t="str">
        <f aca="false">IF($G104=0,"",(INDEX([1]!bunker_cost,MATCH(route,[1]!bunker_cost_route,0),MATCH(vessel_choice,[1]!bunker_cost_ship,0))/vessel_mmbtu))</f>
        <v/>
      </c>
      <c r="K104" s="120" t="str">
        <f aca="false">IF($G104=0,"",(+INDEX([1]!PORT_CHARGES,MATCH(source,[1]!PORTS,0),MATCH(vessel,[1]!PORT_CHARGE_SHIPS,0))/vessel_mmbtu))</f>
        <v/>
      </c>
      <c r="L104" s="120" t="str">
        <f aca="false">IF($G104=0,"",(+INDEX([1]!PORT_CHARGES,MATCH(destination,[1]!PORTS,0),MATCH(vessel,[1]!PORT_CHARGE_SHIPS,0))/vessel_mmbtu))</f>
        <v/>
      </c>
      <c r="M104" s="120" t="str">
        <f aca="false">IF($G104=0,"",IF(route_choice=1,INDEX([1]!PORT_CHARGES,MATCH(suez,[1]!PORTS,0),MATCH(vessel,[1]!PORT_CHARGE_SHIPS,0)),0)/vessel_mmbtu)</f>
        <v/>
      </c>
      <c r="N104" s="120" t="str">
        <f aca="false">+IF(G104=0,"",+HLOOKUP(vessel,[1]!other_cost,3,0))</f>
        <v/>
      </c>
      <c r="O104" s="121" t="str">
        <f aca="false">+IF(G104=0,"",SUM(H104:N104))</f>
        <v/>
      </c>
      <c r="P104" s="88"/>
      <c r="Q104" s="90"/>
    </row>
    <row r="105" customFormat="false" ht="12.75" hidden="false" customHeight="false" outlineLevel="0" collapsed="false">
      <c r="E105" s="117" t="n">
        <f aca="false">+DATE(YEAR(E104),MONTH(E104)+1,1)</f>
        <v>48823</v>
      </c>
      <c r="F105" s="118" t="e">
        <f aca="false">+VLOOKUP(E105,[1]!curvecalc,3,0)</f>
        <v>#N/A</v>
      </c>
      <c r="G105" s="119" t="n">
        <f aca="false">+IF(AND(startdate&lt;=E105,enddate&gt;=E105),1,0)</f>
        <v>0</v>
      </c>
      <c r="H105" s="120" t="str">
        <f aca="false">+IF($G105=0,"",(+VLOOKUP($E105,[1]!FIXED_CHARTER_COST,HLOOKUP(vessel_choice,[1]!FIXED_CHARTER_COST,2,0)+1,0)*roundtrip_days)/vessel_mmbtu)</f>
        <v/>
      </c>
      <c r="I105" s="120" t="str">
        <f aca="false">+IF($G105=0,"",(+VLOOKUP($E105,[1]!OM_CHARTER_COST,HLOOKUP(vessel_choice,[1]!OM_CHARTER_COST,2,0)+1,0)*roundtrip_days)/vessel_mmbtu)</f>
        <v/>
      </c>
      <c r="J105" s="120" t="str">
        <f aca="false">IF($G105=0,"",(INDEX([1]!bunker_cost,MATCH(route,[1]!bunker_cost_route,0),MATCH(vessel_choice,[1]!bunker_cost_ship,0))/vessel_mmbtu))</f>
        <v/>
      </c>
      <c r="K105" s="120" t="str">
        <f aca="false">IF($G105=0,"",(+INDEX([1]!PORT_CHARGES,MATCH(source,[1]!PORTS,0),MATCH(vessel,[1]!PORT_CHARGE_SHIPS,0))/vessel_mmbtu))</f>
        <v/>
      </c>
      <c r="L105" s="120" t="str">
        <f aca="false">IF($G105=0,"",(+INDEX([1]!PORT_CHARGES,MATCH(destination,[1]!PORTS,0),MATCH(vessel,[1]!PORT_CHARGE_SHIPS,0))/vessel_mmbtu))</f>
        <v/>
      </c>
      <c r="M105" s="120" t="str">
        <f aca="false">IF($G105=0,"",IF(route_choice=1,INDEX([1]!PORT_CHARGES,MATCH(suez,[1]!PORTS,0),MATCH(vessel,[1]!PORT_CHARGE_SHIPS,0)),0)/vessel_mmbtu)</f>
        <v/>
      </c>
      <c r="N105" s="120" t="str">
        <f aca="false">+IF(G105=0,"",+HLOOKUP(vessel,[1]!other_cost,3,0))</f>
        <v/>
      </c>
      <c r="O105" s="121" t="str">
        <f aca="false">+IF(G105=0,"",SUM(H105:N105))</f>
        <v/>
      </c>
      <c r="P105" s="88"/>
      <c r="Q105" s="90"/>
    </row>
    <row r="106" customFormat="false" ht="12.75" hidden="false" customHeight="false" outlineLevel="0" collapsed="false">
      <c r="E106" s="117" t="n">
        <f aca="false">+DATE(YEAR(E105),MONTH(E105)+1,1)</f>
        <v>48853</v>
      </c>
      <c r="F106" s="118" t="e">
        <f aca="false">+VLOOKUP(E106,[1]!curvecalc,3,0)</f>
        <v>#N/A</v>
      </c>
      <c r="G106" s="119" t="n">
        <f aca="false">+IF(AND(startdate&lt;=E106,enddate&gt;=E106),1,0)</f>
        <v>0</v>
      </c>
      <c r="H106" s="120" t="str">
        <f aca="false">+IF($G106=0,"",(+VLOOKUP($E106,[1]!FIXED_CHARTER_COST,HLOOKUP(vessel_choice,[1]!FIXED_CHARTER_COST,2,0)+1,0)*roundtrip_days)/vessel_mmbtu)</f>
        <v/>
      </c>
      <c r="I106" s="120" t="str">
        <f aca="false">+IF($G106=0,"",(+VLOOKUP($E106,[1]!OM_CHARTER_COST,HLOOKUP(vessel_choice,[1]!OM_CHARTER_COST,2,0)+1,0)*roundtrip_days)/vessel_mmbtu)</f>
        <v/>
      </c>
      <c r="J106" s="120" t="str">
        <f aca="false">IF($G106=0,"",(INDEX([1]!bunker_cost,MATCH(route,[1]!bunker_cost_route,0),MATCH(vessel_choice,[1]!bunker_cost_ship,0))/vessel_mmbtu))</f>
        <v/>
      </c>
      <c r="K106" s="120" t="str">
        <f aca="false">IF($G106=0,"",(+INDEX([1]!PORT_CHARGES,MATCH(source,[1]!PORTS,0),MATCH(vessel,[1]!PORT_CHARGE_SHIPS,0))/vessel_mmbtu))</f>
        <v/>
      </c>
      <c r="L106" s="120" t="str">
        <f aca="false">IF($G106=0,"",(+INDEX([1]!PORT_CHARGES,MATCH(destination,[1]!PORTS,0),MATCH(vessel,[1]!PORT_CHARGE_SHIPS,0))/vessel_mmbtu))</f>
        <v/>
      </c>
      <c r="M106" s="120" t="str">
        <f aca="false">IF($G106=0,"",IF(route_choice=1,INDEX([1]!PORT_CHARGES,MATCH(suez,[1]!PORTS,0),MATCH(vessel,[1]!PORT_CHARGE_SHIPS,0)),0)/vessel_mmbtu)</f>
        <v/>
      </c>
      <c r="N106" s="120" t="str">
        <f aca="false">+IF(G106=0,"",+HLOOKUP(vessel,[1]!other_cost,3,0))</f>
        <v/>
      </c>
      <c r="O106" s="121" t="str">
        <f aca="false">+IF(G106=0,"",SUM(H106:N106))</f>
        <v/>
      </c>
      <c r="P106" s="88"/>
      <c r="Q106" s="90"/>
    </row>
    <row r="107" customFormat="false" ht="12.75" hidden="false" customHeight="false" outlineLevel="0" collapsed="false">
      <c r="E107" s="117" t="n">
        <f aca="false">+DATE(YEAR(E106),MONTH(E106)+1,1)</f>
        <v>48884</v>
      </c>
      <c r="F107" s="118" t="e">
        <f aca="false">+VLOOKUP(E107,[1]!curvecalc,3,0)</f>
        <v>#N/A</v>
      </c>
      <c r="G107" s="119" t="n">
        <f aca="false">+IF(AND(startdate&lt;=E107,enddate&gt;=E107),1,0)</f>
        <v>0</v>
      </c>
      <c r="H107" s="120" t="str">
        <f aca="false">+IF($G107=0,"",(+VLOOKUP($E107,[1]!FIXED_CHARTER_COST,HLOOKUP(vessel_choice,[1]!FIXED_CHARTER_COST,2,0)+1,0)*roundtrip_days)/vessel_mmbtu)</f>
        <v/>
      </c>
      <c r="I107" s="120" t="str">
        <f aca="false">+IF($G107=0,"",(+VLOOKUP($E107,[1]!OM_CHARTER_COST,HLOOKUP(vessel_choice,[1]!OM_CHARTER_COST,2,0)+1,0)*roundtrip_days)/vessel_mmbtu)</f>
        <v/>
      </c>
      <c r="J107" s="120" t="str">
        <f aca="false">IF($G107=0,"",(INDEX([1]!bunker_cost,MATCH(route,[1]!bunker_cost_route,0),MATCH(vessel_choice,[1]!bunker_cost_ship,0))/vessel_mmbtu))</f>
        <v/>
      </c>
      <c r="K107" s="120" t="str">
        <f aca="false">IF($G107=0,"",(+INDEX([1]!PORT_CHARGES,MATCH(source,[1]!PORTS,0),MATCH(vessel,[1]!PORT_CHARGE_SHIPS,0))/vessel_mmbtu))</f>
        <v/>
      </c>
      <c r="L107" s="120" t="str">
        <f aca="false">IF($G107=0,"",(+INDEX([1]!PORT_CHARGES,MATCH(destination,[1]!PORTS,0),MATCH(vessel,[1]!PORT_CHARGE_SHIPS,0))/vessel_mmbtu))</f>
        <v/>
      </c>
      <c r="M107" s="120" t="str">
        <f aca="false">IF($G107=0,"",IF(route_choice=1,INDEX([1]!PORT_CHARGES,MATCH(suez,[1]!PORTS,0),MATCH(vessel,[1]!PORT_CHARGE_SHIPS,0)),0)/vessel_mmbtu)</f>
        <v/>
      </c>
      <c r="N107" s="120" t="str">
        <f aca="false">+IF(G107=0,"",+HLOOKUP(vessel,[1]!other_cost,3,0))</f>
        <v/>
      </c>
      <c r="O107" s="121" t="str">
        <f aca="false">+IF(G107=0,"",SUM(H107:N107))</f>
        <v/>
      </c>
      <c r="P107" s="88"/>
      <c r="Q107" s="90"/>
    </row>
    <row r="108" customFormat="false" ht="12.75" hidden="false" customHeight="false" outlineLevel="0" collapsed="false">
      <c r="E108" s="117" t="n">
        <f aca="false">+DATE(YEAR(E107),MONTH(E107)+1,1)</f>
        <v>48914</v>
      </c>
      <c r="F108" s="118" t="e">
        <f aca="false">+VLOOKUP(E108,[1]!curvecalc,3,0)</f>
        <v>#N/A</v>
      </c>
      <c r="G108" s="119" t="n">
        <f aca="false">+IF(AND(startdate&lt;=E108,enddate&gt;=E108),1,0)</f>
        <v>0</v>
      </c>
      <c r="H108" s="120" t="str">
        <f aca="false">+IF($G108=0,"",(+VLOOKUP($E108,[1]!FIXED_CHARTER_COST,HLOOKUP(vessel_choice,[1]!FIXED_CHARTER_COST,2,0)+1,0)*roundtrip_days)/vessel_mmbtu)</f>
        <v/>
      </c>
      <c r="I108" s="120" t="str">
        <f aca="false">+IF($G108=0,"",(+VLOOKUP($E108,[1]!OM_CHARTER_COST,HLOOKUP(vessel_choice,[1]!OM_CHARTER_COST,2,0)+1,0)*roundtrip_days)/vessel_mmbtu)</f>
        <v/>
      </c>
      <c r="J108" s="120" t="str">
        <f aca="false">IF($G108=0,"",(INDEX([1]!bunker_cost,MATCH(route,[1]!bunker_cost_route,0),MATCH(vessel_choice,[1]!bunker_cost_ship,0))/vessel_mmbtu))</f>
        <v/>
      </c>
      <c r="K108" s="120" t="str">
        <f aca="false">IF($G108=0,"",(+INDEX([1]!PORT_CHARGES,MATCH(source,[1]!PORTS,0),MATCH(vessel,[1]!PORT_CHARGE_SHIPS,0))/vessel_mmbtu))</f>
        <v/>
      </c>
      <c r="L108" s="120" t="str">
        <f aca="false">IF($G108=0,"",(+INDEX([1]!PORT_CHARGES,MATCH(destination,[1]!PORTS,0),MATCH(vessel,[1]!PORT_CHARGE_SHIPS,0))/vessel_mmbtu))</f>
        <v/>
      </c>
      <c r="M108" s="120" t="str">
        <f aca="false">IF($G108=0,"",IF(route_choice=1,INDEX([1]!PORT_CHARGES,MATCH(suez,[1]!PORTS,0),MATCH(vessel,[1]!PORT_CHARGE_SHIPS,0)),0)/vessel_mmbtu)</f>
        <v/>
      </c>
      <c r="N108" s="120" t="str">
        <f aca="false">+IF(G108=0,"",+HLOOKUP(vessel,[1]!other_cost,3,0))</f>
        <v/>
      </c>
      <c r="O108" s="121" t="str">
        <f aca="false">+IF(G108=0,"",SUM(H108:N108))</f>
        <v/>
      </c>
      <c r="P108" s="88"/>
      <c r="Q108" s="90"/>
    </row>
    <row r="109" customFormat="false" ht="12.75" hidden="false" customHeight="false" outlineLevel="0" collapsed="false">
      <c r="E109" s="117" t="n">
        <f aca="false">+DATE(YEAR(E108),MONTH(E108)+1,1)</f>
        <v>48945</v>
      </c>
      <c r="F109" s="118" t="e">
        <f aca="false">+VLOOKUP(E109,[1]!curvecalc,3,0)</f>
        <v>#N/A</v>
      </c>
      <c r="G109" s="119" t="n">
        <f aca="false">+IF(AND(startdate&lt;=E109,enddate&gt;=E109),1,0)</f>
        <v>0</v>
      </c>
      <c r="H109" s="120" t="str">
        <f aca="false">+IF($G109=0,"",(+VLOOKUP($E109,[1]!FIXED_CHARTER_COST,HLOOKUP(vessel_choice,[1]!FIXED_CHARTER_COST,2,0)+1,0)*roundtrip_days)/vessel_mmbtu)</f>
        <v/>
      </c>
      <c r="I109" s="120" t="str">
        <f aca="false">+IF($G109=0,"",(+VLOOKUP($E109,[1]!OM_CHARTER_COST,HLOOKUP(vessel_choice,[1]!OM_CHARTER_COST,2,0)+1,0)*roundtrip_days)/vessel_mmbtu)</f>
        <v/>
      </c>
      <c r="J109" s="120" t="str">
        <f aca="false">IF($G109=0,"",(INDEX([1]!bunker_cost,MATCH(route,[1]!bunker_cost_route,0),MATCH(vessel_choice,[1]!bunker_cost_ship,0))/vessel_mmbtu))</f>
        <v/>
      </c>
      <c r="K109" s="120" t="str">
        <f aca="false">IF($G109=0,"",(+INDEX([1]!PORT_CHARGES,MATCH(source,[1]!PORTS,0),MATCH(vessel,[1]!PORT_CHARGE_SHIPS,0))/vessel_mmbtu))</f>
        <v/>
      </c>
      <c r="L109" s="120" t="str">
        <f aca="false">IF($G109=0,"",(+INDEX([1]!PORT_CHARGES,MATCH(destination,[1]!PORTS,0),MATCH(vessel,[1]!PORT_CHARGE_SHIPS,0))/vessel_mmbtu))</f>
        <v/>
      </c>
      <c r="M109" s="120" t="str">
        <f aca="false">IF($G109=0,"",IF(route_choice=1,INDEX([1]!PORT_CHARGES,MATCH(suez,[1]!PORTS,0),MATCH(vessel,[1]!PORT_CHARGE_SHIPS,0)),0)/vessel_mmbtu)</f>
        <v/>
      </c>
      <c r="N109" s="120" t="str">
        <f aca="false">+IF(G109=0,"",+HLOOKUP(vessel,[1]!other_cost,3,0))</f>
        <v/>
      </c>
      <c r="O109" s="121" t="str">
        <f aca="false">+IF(G109=0,"",SUM(H109:N109))</f>
        <v/>
      </c>
      <c r="P109" s="88"/>
      <c r="Q109" s="90"/>
    </row>
    <row r="110" customFormat="false" ht="12.75" hidden="false" customHeight="false" outlineLevel="0" collapsed="false">
      <c r="E110" s="117" t="n">
        <f aca="false">+DATE(YEAR(E109),MONTH(E109)+1,1)</f>
        <v>48976</v>
      </c>
      <c r="F110" s="118" t="e">
        <f aca="false">+VLOOKUP(E110,[1]!curvecalc,3,0)</f>
        <v>#N/A</v>
      </c>
      <c r="G110" s="119" t="n">
        <f aca="false">+IF(AND(startdate&lt;=E110,enddate&gt;=E110),1,0)</f>
        <v>0</v>
      </c>
      <c r="H110" s="120" t="str">
        <f aca="false">+IF($G110=0,"",(+VLOOKUP($E110,[1]!FIXED_CHARTER_COST,HLOOKUP(vessel_choice,[1]!FIXED_CHARTER_COST,2,0)+1,0)*roundtrip_days)/vessel_mmbtu)</f>
        <v/>
      </c>
      <c r="I110" s="120" t="str">
        <f aca="false">+IF($G110=0,"",(+VLOOKUP($E110,[1]!OM_CHARTER_COST,HLOOKUP(vessel_choice,[1]!OM_CHARTER_COST,2,0)+1,0)*roundtrip_days)/vessel_mmbtu)</f>
        <v/>
      </c>
      <c r="J110" s="120" t="str">
        <f aca="false">IF($G110=0,"",(INDEX([1]!bunker_cost,MATCH(route,[1]!bunker_cost_route,0),MATCH(vessel_choice,[1]!bunker_cost_ship,0))/vessel_mmbtu))</f>
        <v/>
      </c>
      <c r="K110" s="120" t="str">
        <f aca="false">IF($G110=0,"",(+INDEX([1]!PORT_CHARGES,MATCH(source,[1]!PORTS,0),MATCH(vessel,[1]!PORT_CHARGE_SHIPS,0))/vessel_mmbtu))</f>
        <v/>
      </c>
      <c r="L110" s="120" t="str">
        <f aca="false">IF($G110=0,"",(+INDEX([1]!PORT_CHARGES,MATCH(destination,[1]!PORTS,0),MATCH(vessel,[1]!PORT_CHARGE_SHIPS,0))/vessel_mmbtu))</f>
        <v/>
      </c>
      <c r="M110" s="120" t="str">
        <f aca="false">IF($G110=0,"",IF(route_choice=1,INDEX([1]!PORT_CHARGES,MATCH(suez,[1]!PORTS,0),MATCH(vessel,[1]!PORT_CHARGE_SHIPS,0)),0)/vessel_mmbtu)</f>
        <v/>
      </c>
      <c r="N110" s="120" t="str">
        <f aca="false">+IF(G110=0,"",+HLOOKUP(vessel,[1]!other_cost,3,0))</f>
        <v/>
      </c>
      <c r="O110" s="121" t="str">
        <f aca="false">+IF(G110=0,"",SUM(H110:N110))</f>
        <v/>
      </c>
      <c r="P110" s="88"/>
      <c r="Q110" s="90"/>
    </row>
    <row r="111" customFormat="false" ht="12.75" hidden="false" customHeight="false" outlineLevel="0" collapsed="false">
      <c r="E111" s="117" t="n">
        <f aca="false">+DATE(YEAR(E110),MONTH(E110)+1,1)</f>
        <v>49004</v>
      </c>
      <c r="F111" s="118" t="e">
        <f aca="false">+VLOOKUP(E111,[1]!curvecalc,3,0)</f>
        <v>#N/A</v>
      </c>
      <c r="G111" s="119" t="n">
        <f aca="false">+IF(AND(startdate&lt;=E111,enddate&gt;=E111),1,0)</f>
        <v>0</v>
      </c>
      <c r="H111" s="120" t="str">
        <f aca="false">+IF($G111=0,"",(+VLOOKUP($E111,[1]!FIXED_CHARTER_COST,HLOOKUP(vessel_choice,[1]!FIXED_CHARTER_COST,2,0)+1,0)*roundtrip_days)/vessel_mmbtu)</f>
        <v/>
      </c>
      <c r="I111" s="120" t="str">
        <f aca="false">+IF($G111=0,"",(+VLOOKUP($E111,[1]!OM_CHARTER_COST,HLOOKUP(vessel_choice,[1]!OM_CHARTER_COST,2,0)+1,0)*roundtrip_days)/vessel_mmbtu)</f>
        <v/>
      </c>
      <c r="J111" s="120" t="str">
        <f aca="false">IF($G111=0,"",(INDEX([1]!bunker_cost,MATCH(route,[1]!bunker_cost_route,0),MATCH(vessel_choice,[1]!bunker_cost_ship,0))/vessel_mmbtu))</f>
        <v/>
      </c>
      <c r="K111" s="120" t="str">
        <f aca="false">IF($G111=0,"",(+INDEX([1]!PORT_CHARGES,MATCH(source,[1]!PORTS,0),MATCH(vessel,[1]!PORT_CHARGE_SHIPS,0))/vessel_mmbtu))</f>
        <v/>
      </c>
      <c r="L111" s="120" t="str">
        <f aca="false">IF($G111=0,"",(+INDEX([1]!PORT_CHARGES,MATCH(destination,[1]!PORTS,0),MATCH(vessel,[1]!PORT_CHARGE_SHIPS,0))/vessel_mmbtu))</f>
        <v/>
      </c>
      <c r="M111" s="120" t="str">
        <f aca="false">IF($G111=0,"",IF(route_choice=1,INDEX([1]!PORT_CHARGES,MATCH(suez,[1]!PORTS,0),MATCH(vessel,[1]!PORT_CHARGE_SHIPS,0)),0)/vessel_mmbtu)</f>
        <v/>
      </c>
      <c r="N111" s="120" t="str">
        <f aca="false">+IF(G111=0,"",+HLOOKUP(vessel,[1]!other_cost,3,0))</f>
        <v/>
      </c>
      <c r="O111" s="121" t="str">
        <f aca="false">+IF(G111=0,"",SUM(H111:N111))</f>
        <v/>
      </c>
      <c r="P111" s="88"/>
      <c r="Q111" s="90"/>
    </row>
    <row r="112" customFormat="false" ht="12.75" hidden="false" customHeight="false" outlineLevel="0" collapsed="false">
      <c r="E112" s="117" t="n">
        <f aca="false">+DATE(YEAR(E111),MONTH(E111)+1,1)</f>
        <v>49035</v>
      </c>
      <c r="F112" s="118" t="e">
        <f aca="false">+VLOOKUP(E112,[1]!curvecalc,3,0)</f>
        <v>#N/A</v>
      </c>
      <c r="G112" s="119" t="n">
        <f aca="false">+IF(AND(startdate&lt;=E112,enddate&gt;=E112),1,0)</f>
        <v>0</v>
      </c>
      <c r="H112" s="120" t="str">
        <f aca="false">+IF($G112=0,"",(+VLOOKUP($E112,[1]!FIXED_CHARTER_COST,HLOOKUP(vessel_choice,[1]!FIXED_CHARTER_COST,2,0)+1,0)*roundtrip_days)/vessel_mmbtu)</f>
        <v/>
      </c>
      <c r="I112" s="120" t="str">
        <f aca="false">+IF($G112=0,"",(+VLOOKUP($E112,[1]!OM_CHARTER_COST,HLOOKUP(vessel_choice,[1]!OM_CHARTER_COST,2,0)+1,0)*roundtrip_days)/vessel_mmbtu)</f>
        <v/>
      </c>
      <c r="J112" s="120" t="str">
        <f aca="false">IF($G112=0,"",(INDEX([1]!bunker_cost,MATCH(route,[1]!bunker_cost_route,0),MATCH(vessel_choice,[1]!bunker_cost_ship,0))/vessel_mmbtu))</f>
        <v/>
      </c>
      <c r="K112" s="120" t="str">
        <f aca="false">IF($G112=0,"",(+INDEX([1]!PORT_CHARGES,MATCH(source,[1]!PORTS,0),MATCH(vessel,[1]!PORT_CHARGE_SHIPS,0))/vessel_mmbtu))</f>
        <v/>
      </c>
      <c r="L112" s="120" t="str">
        <f aca="false">IF($G112=0,"",(+INDEX([1]!PORT_CHARGES,MATCH(destination,[1]!PORTS,0),MATCH(vessel,[1]!PORT_CHARGE_SHIPS,0))/vessel_mmbtu))</f>
        <v/>
      </c>
      <c r="M112" s="120" t="str">
        <f aca="false">IF($G112=0,"",IF(route_choice=1,INDEX([1]!PORT_CHARGES,MATCH(suez,[1]!PORTS,0),MATCH(vessel,[1]!PORT_CHARGE_SHIPS,0)),0)/vessel_mmbtu)</f>
        <v/>
      </c>
      <c r="N112" s="120" t="str">
        <f aca="false">+IF(G112=0,"",+HLOOKUP(vessel,[1]!other_cost,3,0))</f>
        <v/>
      </c>
      <c r="O112" s="121" t="str">
        <f aca="false">+IF(G112=0,"",SUM(H112:N112))</f>
        <v/>
      </c>
      <c r="P112" s="88"/>
      <c r="Q112" s="90"/>
    </row>
    <row r="113" customFormat="false" ht="12.75" hidden="false" customHeight="false" outlineLevel="0" collapsed="false">
      <c r="E113" s="117" t="n">
        <f aca="false">+DATE(YEAR(E112),MONTH(E112)+1,1)</f>
        <v>49065</v>
      </c>
      <c r="F113" s="118" t="e">
        <f aca="false">+VLOOKUP(E113,[1]!curvecalc,3,0)</f>
        <v>#N/A</v>
      </c>
      <c r="G113" s="119" t="n">
        <f aca="false">+IF(AND(startdate&lt;=E113,enddate&gt;=E113),1,0)</f>
        <v>0</v>
      </c>
      <c r="H113" s="120" t="str">
        <f aca="false">+IF($G113=0,"",(+VLOOKUP($E113,[1]!FIXED_CHARTER_COST,HLOOKUP(vessel_choice,[1]!FIXED_CHARTER_COST,2,0)+1,0)*roundtrip_days)/vessel_mmbtu)</f>
        <v/>
      </c>
      <c r="I113" s="120" t="str">
        <f aca="false">+IF($G113=0,"",(+VLOOKUP($E113,[1]!OM_CHARTER_COST,HLOOKUP(vessel_choice,[1]!OM_CHARTER_COST,2,0)+1,0)*roundtrip_days)/vessel_mmbtu)</f>
        <v/>
      </c>
      <c r="J113" s="120" t="str">
        <f aca="false">IF($G113=0,"",(INDEX([1]!bunker_cost,MATCH(route,[1]!bunker_cost_route,0),MATCH(vessel_choice,[1]!bunker_cost_ship,0))/vessel_mmbtu))</f>
        <v/>
      </c>
      <c r="K113" s="120" t="str">
        <f aca="false">IF($G113=0,"",(+INDEX([1]!PORT_CHARGES,MATCH(source,[1]!PORTS,0),MATCH(vessel,[1]!PORT_CHARGE_SHIPS,0))/vessel_mmbtu))</f>
        <v/>
      </c>
      <c r="L113" s="120" t="str">
        <f aca="false">IF($G113=0,"",(+INDEX([1]!PORT_CHARGES,MATCH(destination,[1]!PORTS,0),MATCH(vessel,[1]!PORT_CHARGE_SHIPS,0))/vessel_mmbtu))</f>
        <v/>
      </c>
      <c r="M113" s="120" t="str">
        <f aca="false">IF($G113=0,"",IF(route_choice=1,INDEX([1]!PORT_CHARGES,MATCH(suez,[1]!PORTS,0),MATCH(vessel,[1]!PORT_CHARGE_SHIPS,0)),0)/vessel_mmbtu)</f>
        <v/>
      </c>
      <c r="N113" s="120" t="str">
        <f aca="false">+IF(G113=0,"",+HLOOKUP(vessel,[1]!other_cost,3,0))</f>
        <v/>
      </c>
      <c r="O113" s="121" t="str">
        <f aca="false">+IF(G113=0,"",SUM(H113:N113))</f>
        <v/>
      </c>
      <c r="P113" s="88"/>
      <c r="Q113" s="90"/>
    </row>
    <row r="114" customFormat="false" ht="12.75" hidden="false" customHeight="false" outlineLevel="0" collapsed="false">
      <c r="E114" s="117" t="n">
        <f aca="false">+DATE(YEAR(E113),MONTH(E113)+1,1)</f>
        <v>49096</v>
      </c>
      <c r="F114" s="118" t="e">
        <f aca="false">+VLOOKUP(E114,[1]!curvecalc,3,0)</f>
        <v>#N/A</v>
      </c>
      <c r="G114" s="119" t="n">
        <f aca="false">+IF(AND(startdate&lt;=E114,enddate&gt;=E114),1,0)</f>
        <v>0</v>
      </c>
      <c r="H114" s="120" t="str">
        <f aca="false">+IF($G114=0,"",(+VLOOKUP($E114,[1]!FIXED_CHARTER_COST,HLOOKUP(vessel_choice,[1]!FIXED_CHARTER_COST,2,0)+1,0)*roundtrip_days)/vessel_mmbtu)</f>
        <v/>
      </c>
      <c r="I114" s="120" t="str">
        <f aca="false">+IF($G114=0,"",(+VLOOKUP($E114,[1]!OM_CHARTER_COST,HLOOKUP(vessel_choice,[1]!OM_CHARTER_COST,2,0)+1,0)*roundtrip_days)/vessel_mmbtu)</f>
        <v/>
      </c>
      <c r="J114" s="120" t="str">
        <f aca="false">IF($G114=0,"",(INDEX([1]!bunker_cost,MATCH(route,[1]!bunker_cost_route,0),MATCH(vessel_choice,[1]!bunker_cost_ship,0))/vessel_mmbtu))</f>
        <v/>
      </c>
      <c r="K114" s="120" t="str">
        <f aca="false">IF($G114=0,"",(+INDEX([1]!PORT_CHARGES,MATCH(source,[1]!PORTS,0),MATCH(vessel,[1]!PORT_CHARGE_SHIPS,0))/vessel_mmbtu))</f>
        <v/>
      </c>
      <c r="L114" s="120" t="str">
        <f aca="false">IF($G114=0,"",(+INDEX([1]!PORT_CHARGES,MATCH(destination,[1]!PORTS,0),MATCH(vessel,[1]!PORT_CHARGE_SHIPS,0))/vessel_mmbtu))</f>
        <v/>
      </c>
      <c r="M114" s="120" t="str">
        <f aca="false">IF($G114=0,"",IF(route_choice=1,INDEX([1]!PORT_CHARGES,MATCH(suez,[1]!PORTS,0),MATCH(vessel,[1]!PORT_CHARGE_SHIPS,0)),0)/vessel_mmbtu)</f>
        <v/>
      </c>
      <c r="N114" s="120" t="str">
        <f aca="false">+IF(G114=0,"",+HLOOKUP(vessel,[1]!other_cost,3,0))</f>
        <v/>
      </c>
      <c r="O114" s="121" t="str">
        <f aca="false">+IF(G114=0,"",SUM(H114:N114))</f>
        <v/>
      </c>
      <c r="P114" s="88"/>
      <c r="Q114" s="90"/>
    </row>
    <row r="115" customFormat="false" ht="12.75" hidden="false" customHeight="false" outlineLevel="0" collapsed="false">
      <c r="E115" s="117" t="n">
        <f aca="false">+DATE(YEAR(E114),MONTH(E114)+1,1)</f>
        <v>49126</v>
      </c>
      <c r="F115" s="118" t="e">
        <f aca="false">+VLOOKUP(E115,[1]!curvecalc,3,0)</f>
        <v>#N/A</v>
      </c>
      <c r="G115" s="119" t="n">
        <f aca="false">+IF(AND(startdate&lt;=E115,enddate&gt;=E115),1,0)</f>
        <v>0</v>
      </c>
      <c r="H115" s="120" t="str">
        <f aca="false">+IF($G115=0,"",(+VLOOKUP($E115,[1]!FIXED_CHARTER_COST,HLOOKUP(vessel_choice,[1]!FIXED_CHARTER_COST,2,0)+1,0)*roundtrip_days)/vessel_mmbtu)</f>
        <v/>
      </c>
      <c r="I115" s="120" t="str">
        <f aca="false">+IF($G115=0,"",(+VLOOKUP($E115,[1]!OM_CHARTER_COST,HLOOKUP(vessel_choice,[1]!OM_CHARTER_COST,2,0)+1,0)*roundtrip_days)/vessel_mmbtu)</f>
        <v/>
      </c>
      <c r="J115" s="120" t="str">
        <f aca="false">IF($G115=0,"",(INDEX([1]!bunker_cost,MATCH(route,[1]!bunker_cost_route,0),MATCH(vessel_choice,[1]!bunker_cost_ship,0))/vessel_mmbtu))</f>
        <v/>
      </c>
      <c r="K115" s="120" t="str">
        <f aca="false">IF($G115=0,"",(+INDEX([1]!PORT_CHARGES,MATCH(source,[1]!PORTS,0),MATCH(vessel,[1]!PORT_CHARGE_SHIPS,0))/vessel_mmbtu))</f>
        <v/>
      </c>
      <c r="L115" s="120" t="str">
        <f aca="false">IF($G115=0,"",(+INDEX([1]!PORT_CHARGES,MATCH(destination,[1]!PORTS,0),MATCH(vessel,[1]!PORT_CHARGE_SHIPS,0))/vessel_mmbtu))</f>
        <v/>
      </c>
      <c r="M115" s="120" t="str">
        <f aca="false">IF($G115=0,"",IF(route_choice=1,INDEX([1]!PORT_CHARGES,MATCH(suez,[1]!PORTS,0),MATCH(vessel,[1]!PORT_CHARGE_SHIPS,0)),0)/vessel_mmbtu)</f>
        <v/>
      </c>
      <c r="N115" s="120" t="str">
        <f aca="false">+IF(G115=0,"",+HLOOKUP(vessel,[1]!other_cost,3,0))</f>
        <v/>
      </c>
      <c r="O115" s="121" t="str">
        <f aca="false">+IF(G115=0,"",SUM(H115:N115))</f>
        <v/>
      </c>
      <c r="P115" s="88"/>
      <c r="Q115" s="90"/>
    </row>
    <row r="116" customFormat="false" ht="12.75" hidden="false" customHeight="false" outlineLevel="0" collapsed="false">
      <c r="E116" s="117" t="n">
        <f aca="false">+DATE(YEAR(E115),MONTH(E115)+1,1)</f>
        <v>49157</v>
      </c>
      <c r="F116" s="118" t="e">
        <f aca="false">+VLOOKUP(E116,[1]!curvecalc,3,0)</f>
        <v>#N/A</v>
      </c>
      <c r="G116" s="119" t="n">
        <f aca="false">+IF(AND(startdate&lt;=E116,enddate&gt;=E116),1,0)</f>
        <v>0</v>
      </c>
      <c r="H116" s="120" t="str">
        <f aca="false">+IF($G116=0,"",(+VLOOKUP($E116,[1]!FIXED_CHARTER_COST,HLOOKUP(vessel_choice,[1]!FIXED_CHARTER_COST,2,0)+1,0)*roundtrip_days)/vessel_mmbtu)</f>
        <v/>
      </c>
      <c r="I116" s="120" t="str">
        <f aca="false">+IF($G116=0,"",(+VLOOKUP($E116,[1]!OM_CHARTER_COST,HLOOKUP(vessel_choice,[1]!OM_CHARTER_COST,2,0)+1,0)*roundtrip_days)/vessel_mmbtu)</f>
        <v/>
      </c>
      <c r="J116" s="120" t="str">
        <f aca="false">IF($G116=0,"",(INDEX([1]!bunker_cost,MATCH(route,[1]!bunker_cost_route,0),MATCH(vessel_choice,[1]!bunker_cost_ship,0))/vessel_mmbtu))</f>
        <v/>
      </c>
      <c r="K116" s="120" t="str">
        <f aca="false">IF($G116=0,"",(+INDEX([1]!PORT_CHARGES,MATCH(source,[1]!PORTS,0),MATCH(vessel,[1]!PORT_CHARGE_SHIPS,0))/vessel_mmbtu))</f>
        <v/>
      </c>
      <c r="L116" s="120" t="str">
        <f aca="false">IF($G116=0,"",(+INDEX([1]!PORT_CHARGES,MATCH(destination,[1]!PORTS,0),MATCH(vessel,[1]!PORT_CHARGE_SHIPS,0))/vessel_mmbtu))</f>
        <v/>
      </c>
      <c r="M116" s="120" t="str">
        <f aca="false">IF($G116=0,"",IF(route_choice=1,INDEX([1]!PORT_CHARGES,MATCH(suez,[1]!PORTS,0),MATCH(vessel,[1]!PORT_CHARGE_SHIPS,0)),0)/vessel_mmbtu)</f>
        <v/>
      </c>
      <c r="N116" s="120" t="str">
        <f aca="false">+IF(G116=0,"",+HLOOKUP(vessel,[1]!other_cost,3,0))</f>
        <v/>
      </c>
      <c r="O116" s="121" t="str">
        <f aca="false">+IF(G116=0,"",SUM(H116:N116))</f>
        <v/>
      </c>
      <c r="P116" s="88"/>
      <c r="Q116" s="90"/>
    </row>
    <row r="117" customFormat="false" ht="12.75" hidden="false" customHeight="false" outlineLevel="0" collapsed="false">
      <c r="E117" s="117" t="n">
        <f aca="false">+DATE(YEAR(E116),MONTH(E116)+1,1)</f>
        <v>49188</v>
      </c>
      <c r="F117" s="118" t="e">
        <f aca="false">+VLOOKUP(E117,[1]!curvecalc,3,0)</f>
        <v>#N/A</v>
      </c>
      <c r="G117" s="119" t="n">
        <f aca="false">+IF(AND(startdate&lt;=E117,enddate&gt;=E117),1,0)</f>
        <v>0</v>
      </c>
      <c r="H117" s="120" t="str">
        <f aca="false">+IF($G117=0,"",(+VLOOKUP($E117,[1]!FIXED_CHARTER_COST,HLOOKUP(vessel_choice,[1]!FIXED_CHARTER_COST,2,0)+1,0)*roundtrip_days)/vessel_mmbtu)</f>
        <v/>
      </c>
      <c r="I117" s="120" t="str">
        <f aca="false">+IF($G117=0,"",(+VLOOKUP($E117,[1]!OM_CHARTER_COST,HLOOKUP(vessel_choice,[1]!OM_CHARTER_COST,2,0)+1,0)*roundtrip_days)/vessel_mmbtu)</f>
        <v/>
      </c>
      <c r="J117" s="120" t="str">
        <f aca="false">IF($G117=0,"",(INDEX([1]!bunker_cost,MATCH(route,[1]!bunker_cost_route,0),MATCH(vessel_choice,[1]!bunker_cost_ship,0))/vessel_mmbtu))</f>
        <v/>
      </c>
      <c r="K117" s="120" t="str">
        <f aca="false">IF($G117=0,"",(+INDEX([1]!PORT_CHARGES,MATCH(source,[1]!PORTS,0),MATCH(vessel,[1]!PORT_CHARGE_SHIPS,0))/vessel_mmbtu))</f>
        <v/>
      </c>
      <c r="L117" s="120" t="str">
        <f aca="false">IF($G117=0,"",(+INDEX([1]!PORT_CHARGES,MATCH(destination,[1]!PORTS,0),MATCH(vessel,[1]!PORT_CHARGE_SHIPS,0))/vessel_mmbtu))</f>
        <v/>
      </c>
      <c r="M117" s="120" t="str">
        <f aca="false">IF($G117=0,"",IF(route_choice=1,INDEX([1]!PORT_CHARGES,MATCH(suez,[1]!PORTS,0),MATCH(vessel,[1]!PORT_CHARGE_SHIPS,0)),0)/vessel_mmbtu)</f>
        <v/>
      </c>
      <c r="N117" s="120" t="str">
        <f aca="false">+IF(G117=0,"",+HLOOKUP(vessel,[1]!other_cost,3,0))</f>
        <v/>
      </c>
      <c r="O117" s="121" t="str">
        <f aca="false">+IF(G117=0,"",SUM(H117:N117))</f>
        <v/>
      </c>
      <c r="P117" s="88"/>
      <c r="Q117" s="90"/>
    </row>
    <row r="118" customFormat="false" ht="12.75" hidden="false" customHeight="false" outlineLevel="0" collapsed="false">
      <c r="E118" s="117" t="n">
        <f aca="false">+DATE(YEAR(E117),MONTH(E117)+1,1)</f>
        <v>49218</v>
      </c>
      <c r="F118" s="118" t="e">
        <f aca="false">+VLOOKUP(E118,[1]!curvecalc,3,0)</f>
        <v>#N/A</v>
      </c>
      <c r="G118" s="119" t="n">
        <f aca="false">+IF(AND(startdate&lt;=E118,enddate&gt;=E118),1,0)</f>
        <v>0</v>
      </c>
      <c r="H118" s="120" t="str">
        <f aca="false">+IF($G118=0,"",(+VLOOKUP($E118,[1]!FIXED_CHARTER_COST,HLOOKUP(vessel_choice,[1]!FIXED_CHARTER_COST,2,0)+1,0)*roundtrip_days)/vessel_mmbtu)</f>
        <v/>
      </c>
      <c r="I118" s="120" t="str">
        <f aca="false">+IF($G118=0,"",(+VLOOKUP($E118,[1]!OM_CHARTER_COST,HLOOKUP(vessel_choice,[1]!OM_CHARTER_COST,2,0)+1,0)*roundtrip_days)/vessel_mmbtu)</f>
        <v/>
      </c>
      <c r="J118" s="120" t="str">
        <f aca="false">IF($G118=0,"",(INDEX([1]!bunker_cost,MATCH(route,[1]!bunker_cost_route,0),MATCH(vessel_choice,[1]!bunker_cost_ship,0))/vessel_mmbtu))</f>
        <v/>
      </c>
      <c r="K118" s="120" t="str">
        <f aca="false">IF($G118=0,"",(+INDEX([1]!PORT_CHARGES,MATCH(source,[1]!PORTS,0),MATCH(vessel,[1]!PORT_CHARGE_SHIPS,0))/vessel_mmbtu))</f>
        <v/>
      </c>
      <c r="L118" s="120" t="str">
        <f aca="false">IF($G118=0,"",(+INDEX([1]!PORT_CHARGES,MATCH(destination,[1]!PORTS,0),MATCH(vessel,[1]!PORT_CHARGE_SHIPS,0))/vessel_mmbtu))</f>
        <v/>
      </c>
      <c r="M118" s="120" t="str">
        <f aca="false">IF($G118=0,"",IF(route_choice=1,INDEX([1]!PORT_CHARGES,MATCH(suez,[1]!PORTS,0),MATCH(vessel,[1]!PORT_CHARGE_SHIPS,0)),0)/vessel_mmbtu)</f>
        <v/>
      </c>
      <c r="N118" s="120" t="str">
        <f aca="false">+IF(G118=0,"",+HLOOKUP(vessel,[1]!other_cost,3,0))</f>
        <v/>
      </c>
      <c r="O118" s="121" t="str">
        <f aca="false">+IF(G118=0,"",SUM(H118:N118))</f>
        <v/>
      </c>
      <c r="P118" s="88"/>
      <c r="Q118" s="90"/>
    </row>
    <row r="119" customFormat="false" ht="12.75" hidden="false" customHeight="false" outlineLevel="0" collapsed="false">
      <c r="E119" s="117" t="n">
        <f aca="false">+DATE(YEAR(E118),MONTH(E118)+1,1)</f>
        <v>49249</v>
      </c>
      <c r="F119" s="118" t="e">
        <f aca="false">+VLOOKUP(E119,[1]!curvecalc,3,0)</f>
        <v>#N/A</v>
      </c>
      <c r="G119" s="119" t="n">
        <f aca="false">+IF(AND(startdate&lt;=E119,enddate&gt;=E119),1,0)</f>
        <v>0</v>
      </c>
      <c r="H119" s="120" t="str">
        <f aca="false">+IF($G119=0,"",(+VLOOKUP($E119,[1]!FIXED_CHARTER_COST,HLOOKUP(vessel_choice,[1]!FIXED_CHARTER_COST,2,0)+1,0)*roundtrip_days)/vessel_mmbtu)</f>
        <v/>
      </c>
      <c r="I119" s="120" t="str">
        <f aca="false">+IF($G119=0,"",(+VLOOKUP($E119,[1]!OM_CHARTER_COST,HLOOKUP(vessel_choice,[1]!OM_CHARTER_COST,2,0)+1,0)*roundtrip_days)/vessel_mmbtu)</f>
        <v/>
      </c>
      <c r="J119" s="120" t="str">
        <f aca="false">IF($G119=0,"",(INDEX([1]!bunker_cost,MATCH(route,[1]!bunker_cost_route,0),MATCH(vessel_choice,[1]!bunker_cost_ship,0))/vessel_mmbtu))</f>
        <v/>
      </c>
      <c r="K119" s="120" t="str">
        <f aca="false">IF($G119=0,"",(+INDEX([1]!PORT_CHARGES,MATCH(source,[1]!PORTS,0),MATCH(vessel,[1]!PORT_CHARGE_SHIPS,0))/vessel_mmbtu))</f>
        <v/>
      </c>
      <c r="L119" s="120" t="str">
        <f aca="false">IF($G119=0,"",(+INDEX([1]!PORT_CHARGES,MATCH(destination,[1]!PORTS,0),MATCH(vessel,[1]!PORT_CHARGE_SHIPS,0))/vessel_mmbtu))</f>
        <v/>
      </c>
      <c r="M119" s="120" t="str">
        <f aca="false">IF($G119=0,"",IF(route_choice=1,INDEX([1]!PORT_CHARGES,MATCH(suez,[1]!PORTS,0),MATCH(vessel,[1]!PORT_CHARGE_SHIPS,0)),0)/vessel_mmbtu)</f>
        <v/>
      </c>
      <c r="N119" s="120" t="str">
        <f aca="false">+IF(G119=0,"",+HLOOKUP(vessel,[1]!other_cost,3,0))</f>
        <v/>
      </c>
      <c r="O119" s="121" t="str">
        <f aca="false">+IF(G119=0,"",SUM(H119:N119))</f>
        <v/>
      </c>
      <c r="P119" s="88"/>
      <c r="Q119" s="90"/>
    </row>
    <row r="120" customFormat="false" ht="12.75" hidden="false" customHeight="false" outlineLevel="0" collapsed="false">
      <c r="E120" s="117" t="n">
        <f aca="false">+DATE(YEAR(E119),MONTH(E119)+1,1)</f>
        <v>49279</v>
      </c>
      <c r="F120" s="118" t="e">
        <f aca="false">+VLOOKUP(E120,[1]!curvecalc,3,0)</f>
        <v>#N/A</v>
      </c>
      <c r="G120" s="119" t="n">
        <f aca="false">+IF(AND(startdate&lt;=E120,enddate&gt;=E120),1,0)</f>
        <v>0</v>
      </c>
      <c r="H120" s="120" t="str">
        <f aca="false">+IF($G120=0,"",(+VLOOKUP($E120,[1]!FIXED_CHARTER_COST,HLOOKUP(vessel_choice,[1]!FIXED_CHARTER_COST,2,0)+1,0)*roundtrip_days)/vessel_mmbtu)</f>
        <v/>
      </c>
      <c r="I120" s="120" t="str">
        <f aca="false">+IF($G120=0,"",(+VLOOKUP($E120,[1]!OM_CHARTER_COST,HLOOKUP(vessel_choice,[1]!OM_CHARTER_COST,2,0)+1,0)*roundtrip_days)/vessel_mmbtu)</f>
        <v/>
      </c>
      <c r="J120" s="120" t="str">
        <f aca="false">IF($G120=0,"",(INDEX([1]!bunker_cost,MATCH(route,[1]!bunker_cost_route,0),MATCH(vessel_choice,[1]!bunker_cost_ship,0))/vessel_mmbtu))</f>
        <v/>
      </c>
      <c r="K120" s="120" t="str">
        <f aca="false">IF($G120=0,"",(+INDEX([1]!PORT_CHARGES,MATCH(source,[1]!PORTS,0),MATCH(vessel,[1]!PORT_CHARGE_SHIPS,0))/vessel_mmbtu))</f>
        <v/>
      </c>
      <c r="L120" s="120" t="str">
        <f aca="false">IF($G120=0,"",(+INDEX([1]!PORT_CHARGES,MATCH(destination,[1]!PORTS,0),MATCH(vessel,[1]!PORT_CHARGE_SHIPS,0))/vessel_mmbtu))</f>
        <v/>
      </c>
      <c r="M120" s="120" t="str">
        <f aca="false">IF($G120=0,"",IF(route_choice=1,INDEX([1]!PORT_CHARGES,MATCH(suez,[1]!PORTS,0),MATCH(vessel,[1]!PORT_CHARGE_SHIPS,0)),0)/vessel_mmbtu)</f>
        <v/>
      </c>
      <c r="N120" s="120" t="str">
        <f aca="false">+IF(G120=0,"",+HLOOKUP(vessel,[1]!other_cost,3,0))</f>
        <v/>
      </c>
      <c r="O120" s="121" t="str">
        <f aca="false">+IF(G120=0,"",SUM(H120:N120))</f>
        <v/>
      </c>
      <c r="P120" s="88"/>
      <c r="Q120" s="90"/>
    </row>
    <row r="121" customFormat="false" ht="12.75" hidden="false" customHeight="false" outlineLevel="0" collapsed="false">
      <c r="E121" s="117" t="n">
        <f aca="false">+DATE(YEAR(E120),MONTH(E120)+1,1)</f>
        <v>49310</v>
      </c>
      <c r="F121" s="118" t="e">
        <f aca="false">+VLOOKUP(E121,[1]!curvecalc,3,0)</f>
        <v>#N/A</v>
      </c>
      <c r="G121" s="119" t="n">
        <f aca="false">+IF(AND(startdate&lt;=E121,enddate&gt;=E121),1,0)</f>
        <v>0</v>
      </c>
      <c r="H121" s="120" t="str">
        <f aca="false">+IF($G121=0,"",(+VLOOKUP($E121,[1]!FIXED_CHARTER_COST,HLOOKUP(vessel_choice,[1]!FIXED_CHARTER_COST,2,0)+1,0)*roundtrip_days)/vessel_mmbtu)</f>
        <v/>
      </c>
      <c r="I121" s="120" t="str">
        <f aca="false">+IF($G121=0,"",(+VLOOKUP($E121,[1]!OM_CHARTER_COST,HLOOKUP(vessel_choice,[1]!OM_CHARTER_COST,2,0)+1,0)*roundtrip_days)/vessel_mmbtu)</f>
        <v/>
      </c>
      <c r="J121" s="120" t="str">
        <f aca="false">IF($G121=0,"",(INDEX([1]!bunker_cost,MATCH(route,[1]!bunker_cost_route,0),MATCH(vessel_choice,[1]!bunker_cost_ship,0))/vessel_mmbtu))</f>
        <v/>
      </c>
      <c r="K121" s="120" t="str">
        <f aca="false">IF($G121=0,"",(+INDEX([1]!PORT_CHARGES,MATCH(source,[1]!PORTS,0),MATCH(vessel,[1]!PORT_CHARGE_SHIPS,0))/vessel_mmbtu))</f>
        <v/>
      </c>
      <c r="L121" s="120" t="str">
        <f aca="false">IF($G121=0,"",(+INDEX([1]!PORT_CHARGES,MATCH(destination,[1]!PORTS,0),MATCH(vessel,[1]!PORT_CHARGE_SHIPS,0))/vessel_mmbtu))</f>
        <v/>
      </c>
      <c r="M121" s="120" t="str">
        <f aca="false">IF($G121=0,"",IF(route_choice=1,INDEX([1]!PORT_CHARGES,MATCH(suez,[1]!PORTS,0),MATCH(vessel,[1]!PORT_CHARGE_SHIPS,0)),0)/vessel_mmbtu)</f>
        <v/>
      </c>
      <c r="N121" s="120" t="str">
        <f aca="false">+IF(G121=0,"",+HLOOKUP(vessel,[1]!other_cost,3,0))</f>
        <v/>
      </c>
      <c r="O121" s="121" t="str">
        <f aca="false">+IF(G121=0,"",SUM(H121:N121))</f>
        <v/>
      </c>
      <c r="P121" s="88"/>
      <c r="Q121" s="90"/>
    </row>
    <row r="122" customFormat="false" ht="12.75" hidden="false" customHeight="false" outlineLevel="0" collapsed="false">
      <c r="E122" s="117" t="n">
        <f aca="false">+DATE(YEAR(E121),MONTH(E121)+1,1)</f>
        <v>49341</v>
      </c>
      <c r="F122" s="118" t="e">
        <f aca="false">+VLOOKUP(E122,[1]!curvecalc,3,0)</f>
        <v>#N/A</v>
      </c>
      <c r="G122" s="119" t="n">
        <f aca="false">+IF(AND(startdate&lt;=E122,enddate&gt;=E122),1,0)</f>
        <v>0</v>
      </c>
      <c r="H122" s="120" t="str">
        <f aca="false">+IF($G122=0,"",(+VLOOKUP($E122,[1]!FIXED_CHARTER_COST,HLOOKUP(vessel_choice,[1]!FIXED_CHARTER_COST,2,0)+1,0)*roundtrip_days)/vessel_mmbtu)</f>
        <v/>
      </c>
      <c r="I122" s="120" t="str">
        <f aca="false">+IF($G122=0,"",(+VLOOKUP($E122,[1]!OM_CHARTER_COST,HLOOKUP(vessel_choice,[1]!OM_CHARTER_COST,2,0)+1,0)*roundtrip_days)/vessel_mmbtu)</f>
        <v/>
      </c>
      <c r="J122" s="120" t="str">
        <f aca="false">IF($G122=0,"",(INDEX([1]!bunker_cost,MATCH(route,[1]!bunker_cost_route,0),MATCH(vessel_choice,[1]!bunker_cost_ship,0))/vessel_mmbtu))</f>
        <v/>
      </c>
      <c r="K122" s="120" t="str">
        <f aca="false">IF($G122=0,"",(+INDEX([1]!PORT_CHARGES,MATCH(source,[1]!PORTS,0),MATCH(vessel,[1]!PORT_CHARGE_SHIPS,0))/vessel_mmbtu))</f>
        <v/>
      </c>
      <c r="L122" s="120" t="str">
        <f aca="false">IF($G122=0,"",(+INDEX([1]!PORT_CHARGES,MATCH(destination,[1]!PORTS,0),MATCH(vessel,[1]!PORT_CHARGE_SHIPS,0))/vessel_mmbtu))</f>
        <v/>
      </c>
      <c r="M122" s="120" t="str">
        <f aca="false">IF($G122=0,"",IF(route_choice=1,INDEX([1]!PORT_CHARGES,MATCH(suez,[1]!PORTS,0),MATCH(vessel,[1]!PORT_CHARGE_SHIPS,0)),0)/vessel_mmbtu)</f>
        <v/>
      </c>
      <c r="N122" s="120" t="str">
        <f aca="false">+IF(G122=0,"",+HLOOKUP(vessel,[1]!other_cost,3,0))</f>
        <v/>
      </c>
      <c r="O122" s="121" t="str">
        <f aca="false">+IF(G122=0,"",SUM(H122:N122))</f>
        <v/>
      </c>
      <c r="P122" s="88"/>
      <c r="Q122" s="90"/>
    </row>
    <row r="123" customFormat="false" ht="12.75" hidden="false" customHeight="false" outlineLevel="0" collapsed="false">
      <c r="E123" s="117" t="n">
        <f aca="false">+DATE(YEAR(E122),MONTH(E122)+1,1)</f>
        <v>49369</v>
      </c>
      <c r="F123" s="118" t="e">
        <f aca="false">+VLOOKUP(E123,[1]!curvecalc,3,0)</f>
        <v>#N/A</v>
      </c>
      <c r="G123" s="119" t="n">
        <f aca="false">+IF(AND(startdate&lt;=E123,enddate&gt;=E123),1,0)</f>
        <v>0</v>
      </c>
      <c r="H123" s="120" t="str">
        <f aca="false">+IF($G123=0,"",(+VLOOKUP($E123,[1]!FIXED_CHARTER_COST,HLOOKUP(vessel_choice,[1]!FIXED_CHARTER_COST,2,0)+1,0)*roundtrip_days)/vessel_mmbtu)</f>
        <v/>
      </c>
      <c r="I123" s="120" t="str">
        <f aca="false">+IF($G123=0,"",(+VLOOKUP($E123,[1]!OM_CHARTER_COST,HLOOKUP(vessel_choice,[1]!OM_CHARTER_COST,2,0)+1,0)*roundtrip_days)/vessel_mmbtu)</f>
        <v/>
      </c>
      <c r="J123" s="120" t="str">
        <f aca="false">IF($G123=0,"",(INDEX([1]!bunker_cost,MATCH(route,[1]!bunker_cost_route,0),MATCH(vessel_choice,[1]!bunker_cost_ship,0))/vessel_mmbtu))</f>
        <v/>
      </c>
      <c r="K123" s="120" t="str">
        <f aca="false">IF($G123=0,"",(+INDEX([1]!PORT_CHARGES,MATCH(source,[1]!PORTS,0),MATCH(vessel,[1]!PORT_CHARGE_SHIPS,0))/vessel_mmbtu))</f>
        <v/>
      </c>
      <c r="L123" s="120" t="str">
        <f aca="false">IF($G123=0,"",(+INDEX([1]!PORT_CHARGES,MATCH(destination,[1]!PORTS,0),MATCH(vessel,[1]!PORT_CHARGE_SHIPS,0))/vessel_mmbtu))</f>
        <v/>
      </c>
      <c r="M123" s="120" t="str">
        <f aca="false">IF($G123=0,"",IF(route_choice=1,INDEX([1]!PORT_CHARGES,MATCH(suez,[1]!PORTS,0),MATCH(vessel,[1]!PORT_CHARGE_SHIPS,0)),0)/vessel_mmbtu)</f>
        <v/>
      </c>
      <c r="N123" s="120" t="str">
        <f aca="false">+IF(G123=0,"",+HLOOKUP(vessel,[1]!other_cost,3,0))</f>
        <v/>
      </c>
      <c r="O123" s="121" t="str">
        <f aca="false">+IF(G123=0,"",SUM(H123:N123))</f>
        <v/>
      </c>
      <c r="P123" s="88"/>
      <c r="Q123" s="90"/>
    </row>
    <row r="124" customFormat="false" ht="12.75" hidden="false" customHeight="false" outlineLevel="0" collapsed="false">
      <c r="E124" s="117" t="n">
        <f aca="false">+DATE(YEAR(E123),MONTH(E123)+1,1)</f>
        <v>49400</v>
      </c>
      <c r="F124" s="118" t="e">
        <f aca="false">+VLOOKUP(E124,[1]!curvecalc,3,0)</f>
        <v>#N/A</v>
      </c>
      <c r="G124" s="119" t="n">
        <f aca="false">+IF(AND(startdate&lt;=E124,enddate&gt;=E124),1,0)</f>
        <v>0</v>
      </c>
      <c r="H124" s="120" t="str">
        <f aca="false">+IF($G124=0,"",(+VLOOKUP($E124,[1]!FIXED_CHARTER_COST,HLOOKUP(vessel_choice,[1]!FIXED_CHARTER_COST,2,0)+1,0)*roundtrip_days)/vessel_mmbtu)</f>
        <v/>
      </c>
      <c r="I124" s="120" t="str">
        <f aca="false">+IF($G124=0,"",(+VLOOKUP($E124,[1]!OM_CHARTER_COST,HLOOKUP(vessel_choice,[1]!OM_CHARTER_COST,2,0)+1,0)*roundtrip_days)/vessel_mmbtu)</f>
        <v/>
      </c>
      <c r="J124" s="120" t="str">
        <f aca="false">IF($G124=0,"",(INDEX([1]!bunker_cost,MATCH(route,[1]!bunker_cost_route,0),MATCH(vessel_choice,[1]!bunker_cost_ship,0))/vessel_mmbtu))</f>
        <v/>
      </c>
      <c r="K124" s="120" t="str">
        <f aca="false">IF($G124=0,"",(+INDEX([1]!PORT_CHARGES,MATCH(source,[1]!PORTS,0),MATCH(vessel,[1]!PORT_CHARGE_SHIPS,0))/vessel_mmbtu))</f>
        <v/>
      </c>
      <c r="L124" s="120" t="str">
        <f aca="false">IF($G124=0,"",(+INDEX([1]!PORT_CHARGES,MATCH(destination,[1]!PORTS,0),MATCH(vessel,[1]!PORT_CHARGE_SHIPS,0))/vessel_mmbtu))</f>
        <v/>
      </c>
      <c r="M124" s="120" t="str">
        <f aca="false">IF($G124=0,"",IF(route_choice=1,INDEX([1]!PORT_CHARGES,MATCH(suez,[1]!PORTS,0),MATCH(vessel,[1]!PORT_CHARGE_SHIPS,0)),0)/vessel_mmbtu)</f>
        <v/>
      </c>
      <c r="N124" s="120" t="str">
        <f aca="false">+IF(G124=0,"",+HLOOKUP(vessel,[1]!other_cost,3,0))</f>
        <v/>
      </c>
      <c r="O124" s="121" t="str">
        <f aca="false">+IF(G124=0,"",SUM(H124:N124))</f>
        <v/>
      </c>
      <c r="P124" s="88"/>
      <c r="Q124" s="90"/>
    </row>
    <row r="125" customFormat="false" ht="12.75" hidden="false" customHeight="false" outlineLevel="0" collapsed="false">
      <c r="E125" s="117" t="n">
        <f aca="false">+DATE(YEAR(E124),MONTH(E124)+1,1)</f>
        <v>49430</v>
      </c>
      <c r="F125" s="118" t="e">
        <f aca="false">+VLOOKUP(E125,[1]!curvecalc,3,0)</f>
        <v>#N/A</v>
      </c>
      <c r="G125" s="119" t="n">
        <f aca="false">+IF(AND(startdate&lt;=E125,enddate&gt;=E125),1,0)</f>
        <v>0</v>
      </c>
      <c r="H125" s="120" t="str">
        <f aca="false">+IF($G125=0,"",(+VLOOKUP($E125,[1]!FIXED_CHARTER_COST,HLOOKUP(vessel_choice,[1]!FIXED_CHARTER_COST,2,0)+1,0)*roundtrip_days)/vessel_mmbtu)</f>
        <v/>
      </c>
      <c r="I125" s="120" t="str">
        <f aca="false">+IF($G125=0,"",(+VLOOKUP($E125,[1]!OM_CHARTER_COST,HLOOKUP(vessel_choice,[1]!OM_CHARTER_COST,2,0)+1,0)*roundtrip_days)/vessel_mmbtu)</f>
        <v/>
      </c>
      <c r="J125" s="120" t="str">
        <f aca="false">IF($G125=0,"",(INDEX([1]!bunker_cost,MATCH(route,[1]!bunker_cost_route,0),MATCH(vessel_choice,[1]!bunker_cost_ship,0))/vessel_mmbtu))</f>
        <v/>
      </c>
      <c r="K125" s="120" t="str">
        <f aca="false">IF($G125=0,"",(+INDEX([1]!PORT_CHARGES,MATCH(source,[1]!PORTS,0),MATCH(vessel,[1]!PORT_CHARGE_SHIPS,0))/vessel_mmbtu))</f>
        <v/>
      </c>
      <c r="L125" s="120" t="str">
        <f aca="false">IF($G125=0,"",(+INDEX([1]!PORT_CHARGES,MATCH(destination,[1]!PORTS,0),MATCH(vessel,[1]!PORT_CHARGE_SHIPS,0))/vessel_mmbtu))</f>
        <v/>
      </c>
      <c r="M125" s="120" t="str">
        <f aca="false">IF($G125=0,"",IF(route_choice=1,INDEX([1]!PORT_CHARGES,MATCH(suez,[1]!PORTS,0),MATCH(vessel,[1]!PORT_CHARGE_SHIPS,0)),0)/vessel_mmbtu)</f>
        <v/>
      </c>
      <c r="N125" s="120" t="str">
        <f aca="false">+IF(G125=0,"",+HLOOKUP(vessel,[1]!other_cost,3,0))</f>
        <v/>
      </c>
      <c r="O125" s="121" t="str">
        <f aca="false">+IF(G125=0,"",SUM(H125:N125))</f>
        <v/>
      </c>
      <c r="P125" s="88"/>
      <c r="Q125" s="90"/>
    </row>
    <row r="126" customFormat="false" ht="12.75" hidden="false" customHeight="false" outlineLevel="0" collapsed="false">
      <c r="E126" s="117" t="n">
        <f aca="false">+DATE(YEAR(E125),MONTH(E125)+1,1)</f>
        <v>49461</v>
      </c>
      <c r="F126" s="118" t="e">
        <f aca="false">+VLOOKUP(E126,[1]!curvecalc,3,0)</f>
        <v>#N/A</v>
      </c>
      <c r="G126" s="119" t="n">
        <f aca="false">+IF(AND(startdate&lt;=E126,enddate&gt;=E126),1,0)</f>
        <v>0</v>
      </c>
      <c r="H126" s="120" t="str">
        <f aca="false">+IF($G126=0,"",(+VLOOKUP($E126,[1]!FIXED_CHARTER_COST,HLOOKUP(vessel_choice,[1]!FIXED_CHARTER_COST,2,0)+1,0)*roundtrip_days)/vessel_mmbtu)</f>
        <v/>
      </c>
      <c r="I126" s="120" t="str">
        <f aca="false">+IF($G126=0,"",(+VLOOKUP($E126,[1]!OM_CHARTER_COST,HLOOKUP(vessel_choice,[1]!OM_CHARTER_COST,2,0)+1,0)*roundtrip_days)/vessel_mmbtu)</f>
        <v/>
      </c>
      <c r="J126" s="120" t="str">
        <f aca="false">IF($G126=0,"",(INDEX([1]!bunker_cost,MATCH(route,[1]!bunker_cost_route,0),MATCH(vessel_choice,[1]!bunker_cost_ship,0))/vessel_mmbtu))</f>
        <v/>
      </c>
      <c r="K126" s="120" t="str">
        <f aca="false">IF($G126=0,"",(+INDEX([1]!PORT_CHARGES,MATCH(source,[1]!PORTS,0),MATCH(vessel,[1]!PORT_CHARGE_SHIPS,0))/vessel_mmbtu))</f>
        <v/>
      </c>
      <c r="L126" s="120" t="str">
        <f aca="false">IF($G126=0,"",(+INDEX([1]!PORT_CHARGES,MATCH(destination,[1]!PORTS,0),MATCH(vessel,[1]!PORT_CHARGE_SHIPS,0))/vessel_mmbtu))</f>
        <v/>
      </c>
      <c r="M126" s="120" t="str">
        <f aca="false">IF($G126=0,"",IF(route_choice=1,INDEX([1]!PORT_CHARGES,MATCH(suez,[1]!PORTS,0),MATCH(vessel,[1]!PORT_CHARGE_SHIPS,0)),0)/vessel_mmbtu)</f>
        <v/>
      </c>
      <c r="N126" s="120" t="str">
        <f aca="false">+IF(G126=0,"",+HLOOKUP(vessel,[1]!other_cost,3,0))</f>
        <v/>
      </c>
      <c r="O126" s="121" t="str">
        <f aca="false">+IF(G126=0,"",SUM(H126:N126))</f>
        <v/>
      </c>
      <c r="P126" s="88"/>
      <c r="Q126" s="90"/>
    </row>
    <row r="127" customFormat="false" ht="12.75" hidden="false" customHeight="false" outlineLevel="0" collapsed="false">
      <c r="E127" s="117" t="n">
        <f aca="false">+DATE(YEAR(E126),MONTH(E126)+1,1)</f>
        <v>49491</v>
      </c>
      <c r="F127" s="118" t="e">
        <f aca="false">+VLOOKUP(E127,[1]!curvecalc,3,0)</f>
        <v>#N/A</v>
      </c>
      <c r="G127" s="119" t="n">
        <f aca="false">+IF(AND(startdate&lt;=E127,enddate&gt;=E127),1,0)</f>
        <v>0</v>
      </c>
      <c r="H127" s="120" t="str">
        <f aca="false">+IF($G127=0,"",(+VLOOKUP($E127,[1]!FIXED_CHARTER_COST,HLOOKUP(vessel_choice,[1]!FIXED_CHARTER_COST,2,0)+1,0)*roundtrip_days)/vessel_mmbtu)</f>
        <v/>
      </c>
      <c r="I127" s="120" t="str">
        <f aca="false">+IF($G127=0,"",(+VLOOKUP($E127,[1]!OM_CHARTER_COST,HLOOKUP(vessel_choice,[1]!OM_CHARTER_COST,2,0)+1,0)*roundtrip_days)/vessel_mmbtu)</f>
        <v/>
      </c>
      <c r="J127" s="120" t="str">
        <f aca="false">IF($G127=0,"",(INDEX([1]!bunker_cost,MATCH(route,[1]!bunker_cost_route,0),MATCH(vessel_choice,[1]!bunker_cost_ship,0))/vessel_mmbtu))</f>
        <v/>
      </c>
      <c r="K127" s="120" t="str">
        <f aca="false">IF($G127=0,"",(+INDEX([1]!PORT_CHARGES,MATCH(source,[1]!PORTS,0),MATCH(vessel,[1]!PORT_CHARGE_SHIPS,0))/vessel_mmbtu))</f>
        <v/>
      </c>
      <c r="L127" s="120" t="str">
        <f aca="false">IF($G127=0,"",(+INDEX([1]!PORT_CHARGES,MATCH(destination,[1]!PORTS,0),MATCH(vessel,[1]!PORT_CHARGE_SHIPS,0))/vessel_mmbtu))</f>
        <v/>
      </c>
      <c r="M127" s="120" t="str">
        <f aca="false">IF($G127=0,"",IF(route_choice=1,INDEX([1]!PORT_CHARGES,MATCH(suez,[1]!PORTS,0),MATCH(vessel,[1]!PORT_CHARGE_SHIPS,0)),0)/vessel_mmbtu)</f>
        <v/>
      </c>
      <c r="N127" s="120" t="str">
        <f aca="false">+IF(G127=0,"",+HLOOKUP(vessel,[1]!other_cost,3,0))</f>
        <v/>
      </c>
      <c r="O127" s="121" t="str">
        <f aca="false">+IF(G127=0,"",SUM(H127:N127))</f>
        <v/>
      </c>
      <c r="P127" s="88"/>
      <c r="Q127" s="90"/>
    </row>
    <row r="128" customFormat="false" ht="12.75" hidden="false" customHeight="false" outlineLevel="0" collapsed="false">
      <c r="E128" s="117" t="n">
        <f aca="false">+DATE(YEAR(E127),MONTH(E127)+1,1)</f>
        <v>49522</v>
      </c>
      <c r="F128" s="118" t="e">
        <f aca="false">+VLOOKUP(E128,[1]!curvecalc,3,0)</f>
        <v>#N/A</v>
      </c>
      <c r="G128" s="119" t="n">
        <f aca="false">+IF(AND(startdate&lt;=E128,enddate&gt;=E128),1,0)</f>
        <v>0</v>
      </c>
      <c r="H128" s="120" t="str">
        <f aca="false">+IF($G128=0,"",(+VLOOKUP($E128,[1]!FIXED_CHARTER_COST,HLOOKUP(vessel_choice,[1]!FIXED_CHARTER_COST,2,0)+1,0)*roundtrip_days)/vessel_mmbtu)</f>
        <v/>
      </c>
      <c r="I128" s="120" t="str">
        <f aca="false">+IF($G128=0,"",(+VLOOKUP($E128,[1]!OM_CHARTER_COST,HLOOKUP(vessel_choice,[1]!OM_CHARTER_COST,2,0)+1,0)*roundtrip_days)/vessel_mmbtu)</f>
        <v/>
      </c>
      <c r="J128" s="120" t="str">
        <f aca="false">IF($G128=0,"",(INDEX([1]!bunker_cost,MATCH(route,[1]!bunker_cost_route,0),MATCH(vessel_choice,[1]!bunker_cost_ship,0))/vessel_mmbtu))</f>
        <v/>
      </c>
      <c r="K128" s="120" t="str">
        <f aca="false">IF($G128=0,"",(+INDEX([1]!PORT_CHARGES,MATCH(source,[1]!PORTS,0),MATCH(vessel,[1]!PORT_CHARGE_SHIPS,0))/vessel_mmbtu))</f>
        <v/>
      </c>
      <c r="L128" s="120" t="str">
        <f aca="false">IF($G128=0,"",(+INDEX([1]!PORT_CHARGES,MATCH(destination,[1]!PORTS,0),MATCH(vessel,[1]!PORT_CHARGE_SHIPS,0))/vessel_mmbtu))</f>
        <v/>
      </c>
      <c r="M128" s="120" t="str">
        <f aca="false">IF($G128=0,"",IF(route_choice=1,INDEX([1]!PORT_CHARGES,MATCH(suez,[1]!PORTS,0),MATCH(vessel,[1]!PORT_CHARGE_SHIPS,0)),0)/vessel_mmbtu)</f>
        <v/>
      </c>
      <c r="N128" s="120" t="str">
        <f aca="false">+IF(G128=0,"",+HLOOKUP(vessel,[1]!other_cost,3,0))</f>
        <v/>
      </c>
      <c r="O128" s="121" t="str">
        <f aca="false">+IF(G128=0,"",SUM(H128:N128))</f>
        <v/>
      </c>
      <c r="P128" s="88"/>
      <c r="Q128" s="90"/>
    </row>
    <row r="129" customFormat="false" ht="12.75" hidden="false" customHeight="false" outlineLevel="0" collapsed="false">
      <c r="E129" s="117" t="n">
        <f aca="false">+DATE(YEAR(E128),MONTH(E128)+1,1)</f>
        <v>49553</v>
      </c>
      <c r="F129" s="118" t="e">
        <f aca="false">+VLOOKUP(E129,[1]!curvecalc,3,0)</f>
        <v>#N/A</v>
      </c>
      <c r="G129" s="119" t="n">
        <f aca="false">+IF(AND(startdate&lt;=E129,enddate&gt;=E129),1,0)</f>
        <v>0</v>
      </c>
      <c r="H129" s="120" t="str">
        <f aca="false">+IF($G129=0,"",(+VLOOKUP($E129,[1]!FIXED_CHARTER_COST,HLOOKUP(vessel_choice,[1]!FIXED_CHARTER_COST,2,0)+1,0)*roundtrip_days)/vessel_mmbtu)</f>
        <v/>
      </c>
      <c r="I129" s="120" t="str">
        <f aca="false">+IF($G129=0,"",(+VLOOKUP($E129,[1]!OM_CHARTER_COST,HLOOKUP(vessel_choice,[1]!OM_CHARTER_COST,2,0)+1,0)*roundtrip_days)/vessel_mmbtu)</f>
        <v/>
      </c>
      <c r="J129" s="120" t="str">
        <f aca="false">IF($G129=0,"",(INDEX([1]!bunker_cost,MATCH(route,[1]!bunker_cost_route,0),MATCH(vessel_choice,[1]!bunker_cost_ship,0))/vessel_mmbtu))</f>
        <v/>
      </c>
      <c r="K129" s="120" t="str">
        <f aca="false">IF($G129=0,"",(+INDEX([1]!PORT_CHARGES,MATCH(source,[1]!PORTS,0),MATCH(vessel,[1]!PORT_CHARGE_SHIPS,0))/vessel_mmbtu))</f>
        <v/>
      </c>
      <c r="L129" s="120" t="str">
        <f aca="false">IF($G129=0,"",(+INDEX([1]!PORT_CHARGES,MATCH(destination,[1]!PORTS,0),MATCH(vessel,[1]!PORT_CHARGE_SHIPS,0))/vessel_mmbtu))</f>
        <v/>
      </c>
      <c r="M129" s="120" t="str">
        <f aca="false">IF($G129=0,"",IF(route_choice=1,INDEX([1]!PORT_CHARGES,MATCH(suez,[1]!PORTS,0),MATCH(vessel,[1]!PORT_CHARGE_SHIPS,0)),0)/vessel_mmbtu)</f>
        <v/>
      </c>
      <c r="N129" s="120" t="str">
        <f aca="false">+IF(G129=0,"",+HLOOKUP(vessel,[1]!other_cost,3,0))</f>
        <v/>
      </c>
      <c r="O129" s="121" t="str">
        <f aca="false">+IF(G129=0,"",SUM(H129:N129))</f>
        <v/>
      </c>
      <c r="P129" s="88"/>
      <c r="Q129" s="90"/>
    </row>
    <row r="130" customFormat="false" ht="12.75" hidden="false" customHeight="false" outlineLevel="0" collapsed="false">
      <c r="E130" s="117" t="n">
        <f aca="false">+DATE(YEAR(E129),MONTH(E129)+1,1)</f>
        <v>49583</v>
      </c>
      <c r="F130" s="118" t="e">
        <f aca="false">+VLOOKUP(E130,[1]!curvecalc,3,0)</f>
        <v>#N/A</v>
      </c>
      <c r="G130" s="119" t="n">
        <f aca="false">+IF(AND(startdate&lt;=E130,enddate&gt;=E130),1,0)</f>
        <v>0</v>
      </c>
      <c r="H130" s="120" t="str">
        <f aca="false">+IF($G130=0,"",(+VLOOKUP($E130,[1]!FIXED_CHARTER_COST,HLOOKUP(vessel_choice,[1]!FIXED_CHARTER_COST,2,0)+1,0)*roundtrip_days)/vessel_mmbtu)</f>
        <v/>
      </c>
      <c r="I130" s="120" t="str">
        <f aca="false">+IF($G130=0,"",(+VLOOKUP($E130,[1]!OM_CHARTER_COST,HLOOKUP(vessel_choice,[1]!OM_CHARTER_COST,2,0)+1,0)*roundtrip_days)/vessel_mmbtu)</f>
        <v/>
      </c>
      <c r="J130" s="120" t="str">
        <f aca="false">IF($G130=0,"",(INDEX([1]!bunker_cost,MATCH(route,[1]!bunker_cost_route,0),MATCH(vessel_choice,[1]!bunker_cost_ship,0))/vessel_mmbtu))</f>
        <v/>
      </c>
      <c r="K130" s="120" t="str">
        <f aca="false">IF($G130=0,"",(+INDEX([1]!PORT_CHARGES,MATCH(source,[1]!PORTS,0),MATCH(vessel,[1]!PORT_CHARGE_SHIPS,0))/vessel_mmbtu))</f>
        <v/>
      </c>
      <c r="L130" s="120" t="str">
        <f aca="false">IF($G130=0,"",(+INDEX([1]!PORT_CHARGES,MATCH(destination,[1]!PORTS,0),MATCH(vessel,[1]!PORT_CHARGE_SHIPS,0))/vessel_mmbtu))</f>
        <v/>
      </c>
      <c r="M130" s="120" t="str">
        <f aca="false">IF($G130=0,"",IF(route_choice=1,INDEX([1]!PORT_CHARGES,MATCH(suez,[1]!PORTS,0),MATCH(vessel,[1]!PORT_CHARGE_SHIPS,0)),0)/vessel_mmbtu)</f>
        <v/>
      </c>
      <c r="N130" s="120" t="str">
        <f aca="false">+IF(G130=0,"",+HLOOKUP(vessel,[1]!other_cost,3,0))</f>
        <v/>
      </c>
      <c r="O130" s="121" t="str">
        <f aca="false">+IF(G130=0,"",SUM(H130:N130))</f>
        <v/>
      </c>
      <c r="P130" s="88"/>
      <c r="Q130" s="90"/>
    </row>
    <row r="131" customFormat="false" ht="12.75" hidden="false" customHeight="false" outlineLevel="0" collapsed="false">
      <c r="E131" s="117" t="n">
        <f aca="false">+DATE(YEAR(E130),MONTH(E130)+1,1)</f>
        <v>49614</v>
      </c>
      <c r="F131" s="118" t="e">
        <f aca="false">+VLOOKUP(E131,[1]!curvecalc,3,0)</f>
        <v>#N/A</v>
      </c>
      <c r="G131" s="119" t="n">
        <f aca="false">+IF(AND(startdate&lt;=E131,enddate&gt;=E131),1,0)</f>
        <v>0</v>
      </c>
      <c r="H131" s="120" t="str">
        <f aca="false">+IF($G131=0,"",(+VLOOKUP($E131,[1]!FIXED_CHARTER_COST,HLOOKUP(vessel_choice,[1]!FIXED_CHARTER_COST,2,0)+1,0)*roundtrip_days)/vessel_mmbtu)</f>
        <v/>
      </c>
      <c r="I131" s="120" t="str">
        <f aca="false">+IF($G131=0,"",(+VLOOKUP($E131,[1]!OM_CHARTER_COST,HLOOKUP(vessel_choice,[1]!OM_CHARTER_COST,2,0)+1,0)*roundtrip_days)/vessel_mmbtu)</f>
        <v/>
      </c>
      <c r="J131" s="120" t="str">
        <f aca="false">IF($G131=0,"",(INDEX([1]!bunker_cost,MATCH(route,[1]!bunker_cost_route,0),MATCH(vessel_choice,[1]!bunker_cost_ship,0))/vessel_mmbtu))</f>
        <v/>
      </c>
      <c r="K131" s="120" t="str">
        <f aca="false">IF($G131=0,"",(+INDEX([1]!PORT_CHARGES,MATCH(source,[1]!PORTS,0),MATCH(vessel,[1]!PORT_CHARGE_SHIPS,0))/vessel_mmbtu))</f>
        <v/>
      </c>
      <c r="L131" s="120" t="str">
        <f aca="false">IF($G131=0,"",(+INDEX([1]!PORT_CHARGES,MATCH(destination,[1]!PORTS,0),MATCH(vessel,[1]!PORT_CHARGE_SHIPS,0))/vessel_mmbtu))</f>
        <v/>
      </c>
      <c r="M131" s="120" t="str">
        <f aca="false">IF($G131=0,"",IF(route_choice=1,INDEX([1]!PORT_CHARGES,MATCH(suez,[1]!PORTS,0),MATCH(vessel,[1]!PORT_CHARGE_SHIPS,0)),0)/vessel_mmbtu)</f>
        <v/>
      </c>
      <c r="N131" s="120" t="str">
        <f aca="false">+IF(G131=0,"",+HLOOKUP(vessel,[1]!other_cost,3,0))</f>
        <v/>
      </c>
      <c r="O131" s="121" t="str">
        <f aca="false">+IF(G131=0,"",SUM(H131:N131))</f>
        <v/>
      </c>
      <c r="P131" s="88"/>
      <c r="Q131" s="90"/>
    </row>
    <row r="132" customFormat="false" ht="12.75" hidden="false" customHeight="false" outlineLevel="0" collapsed="false">
      <c r="E132" s="117" t="n">
        <f aca="false">+DATE(YEAR(E131),MONTH(E131)+1,1)</f>
        <v>49644</v>
      </c>
      <c r="F132" s="118" t="e">
        <f aca="false">+VLOOKUP(E132,[1]!curvecalc,3,0)</f>
        <v>#N/A</v>
      </c>
      <c r="G132" s="119" t="n">
        <f aca="false">+IF(AND(startdate&lt;=E132,enddate&gt;=E132),1,0)</f>
        <v>0</v>
      </c>
      <c r="H132" s="120" t="str">
        <f aca="false">+IF($G132=0,"",(+VLOOKUP($E132,[1]!FIXED_CHARTER_COST,HLOOKUP(vessel_choice,[1]!FIXED_CHARTER_COST,2,0)+1,0)*roundtrip_days)/vessel_mmbtu)</f>
        <v/>
      </c>
      <c r="I132" s="120" t="str">
        <f aca="false">+IF($G132=0,"",(+VLOOKUP($E132,[1]!OM_CHARTER_COST,HLOOKUP(vessel_choice,[1]!OM_CHARTER_COST,2,0)+1,0)*roundtrip_days)/vessel_mmbtu)</f>
        <v/>
      </c>
      <c r="J132" s="120" t="str">
        <f aca="false">IF($G132=0,"",(INDEX([1]!bunker_cost,MATCH(route,[1]!bunker_cost_route,0),MATCH(vessel_choice,[1]!bunker_cost_ship,0))/vessel_mmbtu))</f>
        <v/>
      </c>
      <c r="K132" s="120" t="str">
        <f aca="false">IF($G132=0,"",(+INDEX([1]!PORT_CHARGES,MATCH(source,[1]!PORTS,0),MATCH(vessel,[1]!PORT_CHARGE_SHIPS,0))/vessel_mmbtu))</f>
        <v/>
      </c>
      <c r="L132" s="120" t="str">
        <f aca="false">IF($G132=0,"",(+INDEX([1]!PORT_CHARGES,MATCH(destination,[1]!PORTS,0),MATCH(vessel,[1]!PORT_CHARGE_SHIPS,0))/vessel_mmbtu))</f>
        <v/>
      </c>
      <c r="M132" s="120" t="str">
        <f aca="false">IF($G132=0,"",IF(route_choice=1,INDEX([1]!PORT_CHARGES,MATCH(suez,[1]!PORTS,0),MATCH(vessel,[1]!PORT_CHARGE_SHIPS,0)),0)/vessel_mmbtu)</f>
        <v/>
      </c>
      <c r="N132" s="120" t="str">
        <f aca="false">+IF(G132=0,"",+HLOOKUP(vessel,[1]!other_cost,3,0))</f>
        <v/>
      </c>
      <c r="O132" s="121" t="str">
        <f aca="false">+IF(G132=0,"",SUM(H132:N132))</f>
        <v/>
      </c>
      <c r="P132" s="88"/>
      <c r="Q132" s="90"/>
    </row>
    <row r="133" customFormat="false" ht="12.75" hidden="false" customHeight="false" outlineLevel="0" collapsed="false">
      <c r="E133" s="117" t="n">
        <f aca="false">+DATE(YEAR(E132),MONTH(E132)+1,1)</f>
        <v>49675</v>
      </c>
      <c r="F133" s="118" t="e">
        <f aca="false">+VLOOKUP(E133,[1]!curvecalc,3,0)</f>
        <v>#N/A</v>
      </c>
      <c r="G133" s="119" t="n">
        <f aca="false">+IF(AND(startdate&lt;=E133,enddate&gt;=E133),1,0)</f>
        <v>0</v>
      </c>
      <c r="H133" s="120" t="str">
        <f aca="false">+IF($G133=0,"",(+VLOOKUP($E133,[1]!FIXED_CHARTER_COST,HLOOKUP(vessel_choice,[1]!FIXED_CHARTER_COST,2,0)+1,0)*roundtrip_days)/vessel_mmbtu)</f>
        <v/>
      </c>
      <c r="I133" s="120" t="str">
        <f aca="false">+IF($G133=0,"",(+VLOOKUP($E133,[1]!OM_CHARTER_COST,HLOOKUP(vessel_choice,[1]!OM_CHARTER_COST,2,0)+1,0)*roundtrip_days)/vessel_mmbtu)</f>
        <v/>
      </c>
      <c r="J133" s="120" t="str">
        <f aca="false">IF($G133=0,"",(INDEX([1]!bunker_cost,MATCH(route,[1]!bunker_cost_route,0),MATCH(vessel_choice,[1]!bunker_cost_ship,0))/vessel_mmbtu))</f>
        <v/>
      </c>
      <c r="K133" s="120" t="str">
        <f aca="false">IF($G133=0,"",(+INDEX([1]!PORT_CHARGES,MATCH(source,[1]!PORTS,0),MATCH(vessel,[1]!PORT_CHARGE_SHIPS,0))/vessel_mmbtu))</f>
        <v/>
      </c>
      <c r="L133" s="120" t="str">
        <f aca="false">IF($G133=0,"",(+INDEX([1]!PORT_CHARGES,MATCH(destination,[1]!PORTS,0),MATCH(vessel,[1]!PORT_CHARGE_SHIPS,0))/vessel_mmbtu))</f>
        <v/>
      </c>
      <c r="M133" s="120" t="str">
        <f aca="false">IF($G133=0,"",IF(route_choice=1,INDEX([1]!PORT_CHARGES,MATCH(suez,[1]!PORTS,0),MATCH(vessel,[1]!PORT_CHARGE_SHIPS,0)),0)/vessel_mmbtu)</f>
        <v/>
      </c>
      <c r="N133" s="120" t="str">
        <f aca="false">+IF(G133=0,"",+HLOOKUP(vessel,[1]!other_cost,3,0))</f>
        <v/>
      </c>
      <c r="O133" s="121" t="str">
        <f aca="false">+IF(G133=0,"",SUM(H133:N133))</f>
        <v/>
      </c>
      <c r="P133" s="88"/>
      <c r="Q133" s="90"/>
    </row>
    <row r="134" customFormat="false" ht="12.75" hidden="false" customHeight="false" outlineLevel="0" collapsed="false">
      <c r="E134" s="117" t="n">
        <f aca="false">+DATE(YEAR(E133),MONTH(E133)+1,1)</f>
        <v>49706</v>
      </c>
      <c r="F134" s="118" t="e">
        <f aca="false">+VLOOKUP(E134,[1]!curvecalc,3,0)</f>
        <v>#N/A</v>
      </c>
      <c r="G134" s="119" t="n">
        <f aca="false">+IF(AND(startdate&lt;=E134,enddate&gt;=E134),1,0)</f>
        <v>0</v>
      </c>
      <c r="H134" s="120" t="str">
        <f aca="false">+IF($G134=0,"",(+VLOOKUP($E134,[1]!FIXED_CHARTER_COST,HLOOKUP(vessel_choice,[1]!FIXED_CHARTER_COST,2,0)+1,0)*roundtrip_days)/vessel_mmbtu)</f>
        <v/>
      </c>
      <c r="I134" s="120" t="str">
        <f aca="false">+IF($G134=0,"",(+VLOOKUP($E134,[1]!OM_CHARTER_COST,HLOOKUP(vessel_choice,[1]!OM_CHARTER_COST,2,0)+1,0)*roundtrip_days)/vessel_mmbtu)</f>
        <v/>
      </c>
      <c r="J134" s="120" t="str">
        <f aca="false">IF($G134=0,"",(INDEX([1]!bunker_cost,MATCH(route,[1]!bunker_cost_route,0),MATCH(vessel_choice,[1]!bunker_cost_ship,0))/vessel_mmbtu))</f>
        <v/>
      </c>
      <c r="K134" s="120" t="str">
        <f aca="false">IF($G134=0,"",(+INDEX([1]!PORT_CHARGES,MATCH(source,[1]!PORTS,0),MATCH(vessel,[1]!PORT_CHARGE_SHIPS,0))/vessel_mmbtu))</f>
        <v/>
      </c>
      <c r="L134" s="120" t="str">
        <f aca="false">IF($G134=0,"",(+INDEX([1]!PORT_CHARGES,MATCH(destination,[1]!PORTS,0),MATCH(vessel,[1]!PORT_CHARGE_SHIPS,0))/vessel_mmbtu))</f>
        <v/>
      </c>
      <c r="M134" s="120" t="str">
        <f aca="false">IF($G134=0,"",IF(route_choice=1,INDEX([1]!PORT_CHARGES,MATCH(suez,[1]!PORTS,0),MATCH(vessel,[1]!PORT_CHARGE_SHIPS,0)),0)/vessel_mmbtu)</f>
        <v/>
      </c>
      <c r="N134" s="120" t="str">
        <f aca="false">+IF(G134=0,"",+HLOOKUP(vessel,[1]!other_cost,3,0))</f>
        <v/>
      </c>
      <c r="O134" s="121" t="str">
        <f aca="false">+IF(G134=0,"",SUM(H134:N134))</f>
        <v/>
      </c>
      <c r="P134" s="88"/>
      <c r="Q134" s="90"/>
    </row>
    <row r="135" customFormat="false" ht="12.75" hidden="false" customHeight="false" outlineLevel="0" collapsed="false">
      <c r="E135" s="117" t="n">
        <f aca="false">+DATE(YEAR(E134),MONTH(E134)+1,1)</f>
        <v>49735</v>
      </c>
      <c r="F135" s="118" t="e">
        <f aca="false">+VLOOKUP(E135,[1]!curvecalc,3,0)</f>
        <v>#N/A</v>
      </c>
      <c r="G135" s="119" t="n">
        <f aca="false">+IF(AND(startdate&lt;=E135,enddate&gt;=E135),1,0)</f>
        <v>0</v>
      </c>
      <c r="H135" s="120" t="str">
        <f aca="false">+IF($G135=0,"",(+VLOOKUP($E135,[1]!FIXED_CHARTER_COST,HLOOKUP(vessel_choice,[1]!FIXED_CHARTER_COST,2,0)+1,0)*roundtrip_days)/vessel_mmbtu)</f>
        <v/>
      </c>
      <c r="I135" s="120" t="str">
        <f aca="false">+IF($G135=0,"",(+VLOOKUP($E135,[1]!OM_CHARTER_COST,HLOOKUP(vessel_choice,[1]!OM_CHARTER_COST,2,0)+1,0)*roundtrip_days)/vessel_mmbtu)</f>
        <v/>
      </c>
      <c r="J135" s="120" t="str">
        <f aca="false">IF($G135=0,"",(INDEX([1]!bunker_cost,MATCH(route,[1]!bunker_cost_route,0),MATCH(vessel_choice,[1]!bunker_cost_ship,0))/vessel_mmbtu))</f>
        <v/>
      </c>
      <c r="K135" s="120" t="str">
        <f aca="false">IF($G135=0,"",(+INDEX([1]!PORT_CHARGES,MATCH(source,[1]!PORTS,0),MATCH(vessel,[1]!PORT_CHARGE_SHIPS,0))/vessel_mmbtu))</f>
        <v/>
      </c>
      <c r="L135" s="120" t="str">
        <f aca="false">IF($G135=0,"",(+INDEX([1]!PORT_CHARGES,MATCH(destination,[1]!PORTS,0),MATCH(vessel,[1]!PORT_CHARGE_SHIPS,0))/vessel_mmbtu))</f>
        <v/>
      </c>
      <c r="M135" s="120" t="str">
        <f aca="false">IF($G135=0,"",IF(route_choice=1,INDEX([1]!PORT_CHARGES,MATCH(suez,[1]!PORTS,0),MATCH(vessel,[1]!PORT_CHARGE_SHIPS,0)),0)/vessel_mmbtu)</f>
        <v/>
      </c>
      <c r="N135" s="120" t="str">
        <f aca="false">+IF(G135=0,"",+HLOOKUP(vessel,[1]!other_cost,3,0))</f>
        <v/>
      </c>
      <c r="O135" s="121" t="str">
        <f aca="false">+IF(G135=0,"",SUM(H135:N135))</f>
        <v/>
      </c>
      <c r="P135" s="88"/>
      <c r="Q135" s="90"/>
    </row>
    <row r="136" customFormat="false" ht="12.75" hidden="false" customHeight="false" outlineLevel="0" collapsed="false">
      <c r="E136" s="117" t="n">
        <f aca="false">+DATE(YEAR(E135),MONTH(E135)+1,1)</f>
        <v>49766</v>
      </c>
      <c r="F136" s="118" t="e">
        <f aca="false">+VLOOKUP(E136,[1]!curvecalc,3,0)</f>
        <v>#N/A</v>
      </c>
      <c r="G136" s="119" t="n">
        <f aca="false">+IF(AND(startdate&lt;=E136,enddate&gt;=E136),1,0)</f>
        <v>0</v>
      </c>
      <c r="H136" s="120" t="str">
        <f aca="false">+IF($G136=0,"",(+VLOOKUP($E136,[1]!FIXED_CHARTER_COST,HLOOKUP(vessel_choice,[1]!FIXED_CHARTER_COST,2,0)+1,0)*roundtrip_days)/vessel_mmbtu)</f>
        <v/>
      </c>
      <c r="I136" s="120" t="str">
        <f aca="false">+IF($G136=0,"",(+VLOOKUP($E136,[1]!OM_CHARTER_COST,HLOOKUP(vessel_choice,[1]!OM_CHARTER_COST,2,0)+1,0)*roundtrip_days)/vessel_mmbtu)</f>
        <v/>
      </c>
      <c r="J136" s="120" t="str">
        <f aca="false">IF($G136=0,"",(INDEX([1]!bunker_cost,MATCH(route,[1]!bunker_cost_route,0),MATCH(vessel_choice,[1]!bunker_cost_ship,0))/vessel_mmbtu))</f>
        <v/>
      </c>
      <c r="K136" s="120" t="str">
        <f aca="false">IF($G136=0,"",(+INDEX([1]!PORT_CHARGES,MATCH(source,[1]!PORTS,0),MATCH(vessel,[1]!PORT_CHARGE_SHIPS,0))/vessel_mmbtu))</f>
        <v/>
      </c>
      <c r="L136" s="120" t="str">
        <f aca="false">IF($G136=0,"",(+INDEX([1]!PORT_CHARGES,MATCH(destination,[1]!PORTS,0),MATCH(vessel,[1]!PORT_CHARGE_SHIPS,0))/vessel_mmbtu))</f>
        <v/>
      </c>
      <c r="M136" s="120" t="str">
        <f aca="false">IF($G136=0,"",IF(route_choice=1,INDEX([1]!PORT_CHARGES,MATCH(suez,[1]!PORTS,0),MATCH(vessel,[1]!PORT_CHARGE_SHIPS,0)),0)/vessel_mmbtu)</f>
        <v/>
      </c>
      <c r="N136" s="120" t="str">
        <f aca="false">+IF(G136=0,"",+HLOOKUP(vessel,[1]!other_cost,3,0))</f>
        <v/>
      </c>
      <c r="O136" s="121" t="str">
        <f aca="false">+IF(G136=0,"",SUM(H136:N136))</f>
        <v/>
      </c>
      <c r="P136" s="88"/>
      <c r="Q136" s="90"/>
    </row>
    <row r="137" customFormat="false" ht="12.75" hidden="false" customHeight="false" outlineLevel="0" collapsed="false">
      <c r="E137" s="117" t="n">
        <f aca="false">+DATE(YEAR(E136),MONTH(E136)+1,1)</f>
        <v>49796</v>
      </c>
      <c r="F137" s="118" t="e">
        <f aca="false">+VLOOKUP(E137,[1]!curvecalc,3,0)</f>
        <v>#N/A</v>
      </c>
      <c r="G137" s="119" t="n">
        <f aca="false">+IF(AND(startdate&lt;=E137,enddate&gt;=E137),1,0)</f>
        <v>0</v>
      </c>
      <c r="H137" s="120" t="str">
        <f aca="false">+IF($G137=0,"",(+VLOOKUP($E137,[1]!FIXED_CHARTER_COST,HLOOKUP(vessel_choice,[1]!FIXED_CHARTER_COST,2,0)+1,0)*roundtrip_days)/vessel_mmbtu)</f>
        <v/>
      </c>
      <c r="I137" s="120" t="str">
        <f aca="false">+IF($G137=0,"",(+VLOOKUP($E137,[1]!OM_CHARTER_COST,HLOOKUP(vessel_choice,[1]!OM_CHARTER_COST,2,0)+1,0)*roundtrip_days)/vessel_mmbtu)</f>
        <v/>
      </c>
      <c r="J137" s="120" t="str">
        <f aca="false">IF($G137=0,"",(INDEX([1]!bunker_cost,MATCH(route,[1]!bunker_cost_route,0),MATCH(vessel_choice,[1]!bunker_cost_ship,0))/vessel_mmbtu))</f>
        <v/>
      </c>
      <c r="K137" s="120" t="str">
        <f aca="false">IF($G137=0,"",(+INDEX([1]!PORT_CHARGES,MATCH(source,[1]!PORTS,0),MATCH(vessel,[1]!PORT_CHARGE_SHIPS,0))/vessel_mmbtu))</f>
        <v/>
      </c>
      <c r="L137" s="120" t="str">
        <f aca="false">IF($G137=0,"",(+INDEX([1]!PORT_CHARGES,MATCH(destination,[1]!PORTS,0),MATCH(vessel,[1]!PORT_CHARGE_SHIPS,0))/vessel_mmbtu))</f>
        <v/>
      </c>
      <c r="M137" s="120" t="str">
        <f aca="false">IF($G137=0,"",IF(route_choice=1,INDEX([1]!PORT_CHARGES,MATCH(suez,[1]!PORTS,0),MATCH(vessel,[1]!PORT_CHARGE_SHIPS,0)),0)/vessel_mmbtu)</f>
        <v/>
      </c>
      <c r="N137" s="120" t="str">
        <f aca="false">+IF(G137=0,"",+HLOOKUP(vessel,[1]!other_cost,3,0))</f>
        <v/>
      </c>
      <c r="O137" s="121" t="str">
        <f aca="false">+IF(G137=0,"",SUM(H137:N137))</f>
        <v/>
      </c>
      <c r="P137" s="88"/>
      <c r="Q137" s="90"/>
    </row>
    <row r="138" customFormat="false" ht="12.75" hidden="false" customHeight="false" outlineLevel="0" collapsed="false">
      <c r="E138" s="117" t="n">
        <f aca="false">+DATE(YEAR(E137),MONTH(E137)+1,1)</f>
        <v>49827</v>
      </c>
      <c r="F138" s="118" t="e">
        <f aca="false">+VLOOKUP(E138,[1]!curvecalc,3,0)</f>
        <v>#N/A</v>
      </c>
      <c r="G138" s="119" t="n">
        <f aca="false">+IF(AND(startdate&lt;=E138,enddate&gt;=E138),1,0)</f>
        <v>0</v>
      </c>
      <c r="H138" s="120" t="str">
        <f aca="false">+IF($G138=0,"",(+VLOOKUP($E138,[1]!FIXED_CHARTER_COST,HLOOKUP(vessel_choice,[1]!FIXED_CHARTER_COST,2,0)+1,0)*roundtrip_days)/vessel_mmbtu)</f>
        <v/>
      </c>
      <c r="I138" s="120" t="str">
        <f aca="false">+IF($G138=0,"",(+VLOOKUP($E138,[1]!OM_CHARTER_COST,HLOOKUP(vessel_choice,[1]!OM_CHARTER_COST,2,0)+1,0)*roundtrip_days)/vessel_mmbtu)</f>
        <v/>
      </c>
      <c r="J138" s="120" t="str">
        <f aca="false">IF($G138=0,"",(INDEX([1]!bunker_cost,MATCH(route,[1]!bunker_cost_route,0),MATCH(vessel_choice,[1]!bunker_cost_ship,0))/vessel_mmbtu))</f>
        <v/>
      </c>
      <c r="K138" s="120" t="str">
        <f aca="false">IF($G138=0,"",(+INDEX([1]!PORT_CHARGES,MATCH(source,[1]!PORTS,0),MATCH(vessel,[1]!PORT_CHARGE_SHIPS,0))/vessel_mmbtu))</f>
        <v/>
      </c>
      <c r="L138" s="120" t="str">
        <f aca="false">IF($G138=0,"",(+INDEX([1]!PORT_CHARGES,MATCH(destination,[1]!PORTS,0),MATCH(vessel,[1]!PORT_CHARGE_SHIPS,0))/vessel_mmbtu))</f>
        <v/>
      </c>
      <c r="M138" s="120" t="str">
        <f aca="false">IF($G138=0,"",IF(route_choice=1,INDEX([1]!PORT_CHARGES,MATCH(suez,[1]!PORTS,0),MATCH(vessel,[1]!PORT_CHARGE_SHIPS,0)),0)/vessel_mmbtu)</f>
        <v/>
      </c>
      <c r="N138" s="120" t="str">
        <f aca="false">+IF(G138=0,"",+HLOOKUP(vessel,[1]!other_cost,3,0))</f>
        <v/>
      </c>
      <c r="O138" s="121" t="str">
        <f aca="false">+IF(G138=0,"",SUM(H138:N138))</f>
        <v/>
      </c>
      <c r="P138" s="88"/>
      <c r="Q138" s="90"/>
    </row>
    <row r="139" customFormat="false" ht="12.75" hidden="false" customHeight="false" outlineLevel="0" collapsed="false">
      <c r="E139" s="117" t="n">
        <f aca="false">+DATE(YEAR(E138),MONTH(E138)+1,1)</f>
        <v>49857</v>
      </c>
      <c r="F139" s="118" t="e">
        <f aca="false">+VLOOKUP(E139,[1]!curvecalc,3,0)</f>
        <v>#N/A</v>
      </c>
      <c r="G139" s="119" t="n">
        <f aca="false">+IF(AND(startdate&lt;=E139,enddate&gt;=E139),1,0)</f>
        <v>0</v>
      </c>
      <c r="H139" s="120" t="str">
        <f aca="false">+IF($G139=0,"",(+VLOOKUP($E139,[1]!FIXED_CHARTER_COST,HLOOKUP(vessel_choice,[1]!FIXED_CHARTER_COST,2,0)+1,0)*roundtrip_days)/vessel_mmbtu)</f>
        <v/>
      </c>
      <c r="I139" s="120" t="str">
        <f aca="false">+IF($G139=0,"",(+VLOOKUP($E139,[1]!OM_CHARTER_COST,HLOOKUP(vessel_choice,[1]!OM_CHARTER_COST,2,0)+1,0)*roundtrip_days)/vessel_mmbtu)</f>
        <v/>
      </c>
      <c r="J139" s="120" t="str">
        <f aca="false">IF($G139=0,"",(INDEX([1]!bunker_cost,MATCH(route,[1]!bunker_cost_route,0),MATCH(vessel_choice,[1]!bunker_cost_ship,0))/vessel_mmbtu))</f>
        <v/>
      </c>
      <c r="K139" s="120" t="str">
        <f aca="false">IF($G139=0,"",(+INDEX([1]!PORT_CHARGES,MATCH(source,[1]!PORTS,0),MATCH(vessel,[1]!PORT_CHARGE_SHIPS,0))/vessel_mmbtu))</f>
        <v/>
      </c>
      <c r="L139" s="120" t="str">
        <f aca="false">IF($G139=0,"",(+INDEX([1]!PORT_CHARGES,MATCH(destination,[1]!PORTS,0),MATCH(vessel,[1]!PORT_CHARGE_SHIPS,0))/vessel_mmbtu))</f>
        <v/>
      </c>
      <c r="M139" s="120" t="str">
        <f aca="false">IF($G139=0,"",IF(route_choice=1,INDEX([1]!PORT_CHARGES,MATCH(suez,[1]!PORTS,0),MATCH(vessel,[1]!PORT_CHARGE_SHIPS,0)),0)/vessel_mmbtu)</f>
        <v/>
      </c>
      <c r="N139" s="120" t="str">
        <f aca="false">+IF(G139=0,"",+HLOOKUP(vessel,[1]!other_cost,3,0))</f>
        <v/>
      </c>
      <c r="O139" s="121" t="str">
        <f aca="false">+IF(G139=0,"",SUM(H139:N139))</f>
        <v/>
      </c>
      <c r="P139" s="88"/>
      <c r="Q139" s="90"/>
    </row>
    <row r="140" customFormat="false" ht="12.75" hidden="false" customHeight="false" outlineLevel="0" collapsed="false">
      <c r="E140" s="117" t="n">
        <f aca="false">+DATE(YEAR(E139),MONTH(E139)+1,1)</f>
        <v>49888</v>
      </c>
      <c r="F140" s="118" t="e">
        <f aca="false">+VLOOKUP(E140,[1]!curvecalc,3,0)</f>
        <v>#N/A</v>
      </c>
      <c r="G140" s="119" t="n">
        <f aca="false">+IF(AND(startdate&lt;=E140,enddate&gt;=E140),1,0)</f>
        <v>0</v>
      </c>
      <c r="H140" s="120" t="str">
        <f aca="false">+IF($G140=0,"",(+VLOOKUP($E140,[1]!FIXED_CHARTER_COST,HLOOKUP(vessel_choice,[1]!FIXED_CHARTER_COST,2,0)+1,0)*roundtrip_days)/vessel_mmbtu)</f>
        <v/>
      </c>
      <c r="I140" s="120" t="str">
        <f aca="false">+IF($G140=0,"",(+VLOOKUP($E140,[1]!OM_CHARTER_COST,HLOOKUP(vessel_choice,[1]!OM_CHARTER_COST,2,0)+1,0)*roundtrip_days)/vessel_mmbtu)</f>
        <v/>
      </c>
      <c r="J140" s="120" t="str">
        <f aca="false">IF($G140=0,"",(INDEX([1]!bunker_cost,MATCH(route,[1]!bunker_cost_route,0),MATCH(vessel_choice,[1]!bunker_cost_ship,0))/vessel_mmbtu))</f>
        <v/>
      </c>
      <c r="K140" s="120" t="str">
        <f aca="false">IF($G140=0,"",(+INDEX([1]!PORT_CHARGES,MATCH(source,[1]!PORTS,0),MATCH(vessel,[1]!PORT_CHARGE_SHIPS,0))/vessel_mmbtu))</f>
        <v/>
      </c>
      <c r="L140" s="120" t="str">
        <f aca="false">IF($G140=0,"",(+INDEX([1]!PORT_CHARGES,MATCH(destination,[1]!PORTS,0),MATCH(vessel,[1]!PORT_CHARGE_SHIPS,0))/vessel_mmbtu))</f>
        <v/>
      </c>
      <c r="M140" s="120" t="str">
        <f aca="false">IF($G140=0,"",IF(route_choice=1,INDEX([1]!PORT_CHARGES,MATCH(suez,[1]!PORTS,0),MATCH(vessel,[1]!PORT_CHARGE_SHIPS,0)),0)/vessel_mmbtu)</f>
        <v/>
      </c>
      <c r="N140" s="120" t="str">
        <f aca="false">+IF(G140=0,"",+HLOOKUP(vessel,[1]!other_cost,3,0))</f>
        <v/>
      </c>
      <c r="O140" s="121" t="str">
        <f aca="false">+IF(G140=0,"",SUM(H140:N140))</f>
        <v/>
      </c>
      <c r="P140" s="88"/>
      <c r="Q140" s="90"/>
    </row>
    <row r="141" customFormat="false" ht="12.75" hidden="false" customHeight="false" outlineLevel="0" collapsed="false">
      <c r="E141" s="117" t="n">
        <f aca="false">+DATE(YEAR(E140),MONTH(E140)+1,1)</f>
        <v>49919</v>
      </c>
      <c r="F141" s="118" t="e">
        <f aca="false">+VLOOKUP(E141,[1]!curvecalc,3,0)</f>
        <v>#N/A</v>
      </c>
      <c r="G141" s="119" t="n">
        <f aca="false">+IF(AND(startdate&lt;=E141,enddate&gt;=E141),1,0)</f>
        <v>0</v>
      </c>
      <c r="H141" s="120" t="str">
        <f aca="false">+IF($G141=0,"",(+VLOOKUP($E141,[1]!FIXED_CHARTER_COST,HLOOKUP(vessel_choice,[1]!FIXED_CHARTER_COST,2,0)+1,0)*roundtrip_days)/vessel_mmbtu)</f>
        <v/>
      </c>
      <c r="I141" s="120" t="str">
        <f aca="false">+IF($G141=0,"",(+VLOOKUP($E141,[1]!OM_CHARTER_COST,HLOOKUP(vessel_choice,[1]!OM_CHARTER_COST,2,0)+1,0)*roundtrip_days)/vessel_mmbtu)</f>
        <v/>
      </c>
      <c r="J141" s="120" t="str">
        <f aca="false">IF($G141=0,"",(INDEX([1]!bunker_cost,MATCH(route,[1]!bunker_cost_route,0),MATCH(vessel_choice,[1]!bunker_cost_ship,0))/vessel_mmbtu))</f>
        <v/>
      </c>
      <c r="K141" s="120" t="str">
        <f aca="false">IF($G141=0,"",(+INDEX([1]!PORT_CHARGES,MATCH(source,[1]!PORTS,0),MATCH(vessel,[1]!PORT_CHARGE_SHIPS,0))/vessel_mmbtu))</f>
        <v/>
      </c>
      <c r="L141" s="120" t="str">
        <f aca="false">IF($G141=0,"",(+INDEX([1]!PORT_CHARGES,MATCH(destination,[1]!PORTS,0),MATCH(vessel,[1]!PORT_CHARGE_SHIPS,0))/vessel_mmbtu))</f>
        <v/>
      </c>
      <c r="M141" s="120" t="str">
        <f aca="false">IF($G141=0,"",IF(route_choice=1,INDEX([1]!PORT_CHARGES,MATCH(suez,[1]!PORTS,0),MATCH(vessel,[1]!PORT_CHARGE_SHIPS,0)),0)/vessel_mmbtu)</f>
        <v/>
      </c>
      <c r="N141" s="120" t="str">
        <f aca="false">+IF(G141=0,"",+HLOOKUP(vessel,[1]!other_cost,3,0))</f>
        <v/>
      </c>
      <c r="O141" s="121" t="str">
        <f aca="false">+IF(G141=0,"",SUM(H141:N141))</f>
        <v/>
      </c>
      <c r="P141" s="88"/>
      <c r="Q141" s="90"/>
    </row>
    <row r="142" customFormat="false" ht="12.75" hidden="false" customHeight="false" outlineLevel="0" collapsed="false">
      <c r="E142" s="117" t="n">
        <f aca="false">+DATE(YEAR(E141),MONTH(E141)+1,1)</f>
        <v>49949</v>
      </c>
      <c r="F142" s="118" t="e">
        <f aca="false">+VLOOKUP(E142,[1]!curvecalc,3,0)</f>
        <v>#N/A</v>
      </c>
      <c r="G142" s="119" t="n">
        <f aca="false">+IF(AND(startdate&lt;=E142,enddate&gt;=E142),1,0)</f>
        <v>0</v>
      </c>
      <c r="H142" s="120" t="str">
        <f aca="false">+IF($G142=0,"",(+VLOOKUP($E142,[1]!FIXED_CHARTER_COST,HLOOKUP(vessel_choice,[1]!FIXED_CHARTER_COST,2,0)+1,0)*roundtrip_days)/vessel_mmbtu)</f>
        <v/>
      </c>
      <c r="I142" s="120" t="str">
        <f aca="false">+IF($G142=0,"",(+VLOOKUP($E142,[1]!OM_CHARTER_COST,HLOOKUP(vessel_choice,[1]!OM_CHARTER_COST,2,0)+1,0)*roundtrip_days)/vessel_mmbtu)</f>
        <v/>
      </c>
      <c r="J142" s="120" t="str">
        <f aca="false">IF($G142=0,"",(INDEX([1]!bunker_cost,MATCH(route,[1]!bunker_cost_route,0),MATCH(vessel_choice,[1]!bunker_cost_ship,0))/vessel_mmbtu))</f>
        <v/>
      </c>
      <c r="K142" s="120" t="str">
        <f aca="false">IF($G142=0,"",(+INDEX([1]!PORT_CHARGES,MATCH(source,[1]!PORTS,0),MATCH(vessel,[1]!PORT_CHARGE_SHIPS,0))/vessel_mmbtu))</f>
        <v/>
      </c>
      <c r="L142" s="120" t="str">
        <f aca="false">IF($G142=0,"",(+INDEX([1]!PORT_CHARGES,MATCH(destination,[1]!PORTS,0),MATCH(vessel,[1]!PORT_CHARGE_SHIPS,0))/vessel_mmbtu))</f>
        <v/>
      </c>
      <c r="M142" s="120" t="str">
        <f aca="false">IF($G142=0,"",IF(route_choice=1,INDEX([1]!PORT_CHARGES,MATCH(suez,[1]!PORTS,0),MATCH(vessel,[1]!PORT_CHARGE_SHIPS,0)),0)/vessel_mmbtu)</f>
        <v/>
      </c>
      <c r="N142" s="120" t="str">
        <f aca="false">+IF(G142=0,"",+HLOOKUP(vessel,[1]!other_cost,3,0))</f>
        <v/>
      </c>
      <c r="O142" s="121" t="str">
        <f aca="false">+IF(G142=0,"",SUM(H142:N142))</f>
        <v/>
      </c>
      <c r="P142" s="88"/>
      <c r="Q142" s="90"/>
    </row>
    <row r="143" customFormat="false" ht="12.75" hidden="false" customHeight="false" outlineLevel="0" collapsed="false">
      <c r="E143" s="117" t="n">
        <f aca="false">+DATE(YEAR(E142),MONTH(E142)+1,1)</f>
        <v>49980</v>
      </c>
      <c r="F143" s="118" t="e">
        <f aca="false">+VLOOKUP(E143,[1]!curvecalc,3,0)</f>
        <v>#N/A</v>
      </c>
      <c r="G143" s="119" t="n">
        <f aca="false">+IF(AND(startdate&lt;=E143,enddate&gt;=E143),1,0)</f>
        <v>0</v>
      </c>
      <c r="H143" s="120" t="str">
        <f aca="false">+IF($G143=0,"",(+VLOOKUP($E143,[1]!FIXED_CHARTER_COST,HLOOKUP(vessel_choice,[1]!FIXED_CHARTER_COST,2,0)+1,0)*roundtrip_days)/vessel_mmbtu)</f>
        <v/>
      </c>
      <c r="I143" s="120" t="str">
        <f aca="false">+IF($G143=0,"",(+VLOOKUP($E143,[1]!OM_CHARTER_COST,HLOOKUP(vessel_choice,[1]!OM_CHARTER_COST,2,0)+1,0)*roundtrip_days)/vessel_mmbtu)</f>
        <v/>
      </c>
      <c r="J143" s="120" t="str">
        <f aca="false">IF($G143=0,"",(INDEX([1]!bunker_cost,MATCH(route,[1]!bunker_cost_route,0),MATCH(vessel_choice,[1]!bunker_cost_ship,0))/vessel_mmbtu))</f>
        <v/>
      </c>
      <c r="K143" s="120" t="str">
        <f aca="false">IF($G143=0,"",(+INDEX([1]!PORT_CHARGES,MATCH(source,[1]!PORTS,0),MATCH(vessel,[1]!PORT_CHARGE_SHIPS,0))/vessel_mmbtu))</f>
        <v/>
      </c>
      <c r="L143" s="120" t="str">
        <f aca="false">IF($G143=0,"",(+INDEX([1]!PORT_CHARGES,MATCH(destination,[1]!PORTS,0),MATCH(vessel,[1]!PORT_CHARGE_SHIPS,0))/vessel_mmbtu))</f>
        <v/>
      </c>
      <c r="M143" s="120" t="str">
        <f aca="false">IF($G143=0,"",IF(route_choice=1,INDEX([1]!PORT_CHARGES,MATCH(suez,[1]!PORTS,0),MATCH(vessel,[1]!PORT_CHARGE_SHIPS,0)),0)/vessel_mmbtu)</f>
        <v/>
      </c>
      <c r="N143" s="120" t="str">
        <f aca="false">+IF(G143=0,"",+HLOOKUP(vessel,[1]!other_cost,3,0))</f>
        <v/>
      </c>
      <c r="O143" s="121" t="str">
        <f aca="false">+IF(G143=0,"",SUM(H143:N143))</f>
        <v/>
      </c>
      <c r="P143" s="88"/>
      <c r="Q143" s="90"/>
    </row>
    <row r="144" customFormat="false" ht="12.75" hidden="false" customHeight="false" outlineLevel="0" collapsed="false">
      <c r="E144" s="117" t="n">
        <f aca="false">+DATE(YEAR(E143),MONTH(E143)+1,1)</f>
        <v>50010</v>
      </c>
      <c r="F144" s="118" t="e">
        <f aca="false">+VLOOKUP(E144,[1]!curvecalc,3,0)</f>
        <v>#N/A</v>
      </c>
      <c r="G144" s="119" t="n">
        <f aca="false">+IF(AND(startdate&lt;=E144,enddate&gt;=E144),1,0)</f>
        <v>0</v>
      </c>
      <c r="H144" s="120" t="str">
        <f aca="false">+IF($G144=0,"",(+VLOOKUP($E144,[1]!FIXED_CHARTER_COST,HLOOKUP(vessel_choice,[1]!FIXED_CHARTER_COST,2,0)+1,0)*roundtrip_days)/vessel_mmbtu)</f>
        <v/>
      </c>
      <c r="I144" s="120" t="str">
        <f aca="false">+IF($G144=0,"",(+VLOOKUP($E144,[1]!OM_CHARTER_COST,HLOOKUP(vessel_choice,[1]!OM_CHARTER_COST,2,0)+1,0)*roundtrip_days)/vessel_mmbtu)</f>
        <v/>
      </c>
      <c r="J144" s="120" t="str">
        <f aca="false">IF($G144=0,"",(INDEX([1]!bunker_cost,MATCH(route,[1]!bunker_cost_route,0),MATCH(vessel_choice,[1]!bunker_cost_ship,0))/vessel_mmbtu))</f>
        <v/>
      </c>
      <c r="K144" s="120" t="str">
        <f aca="false">IF($G144=0,"",(+INDEX([1]!PORT_CHARGES,MATCH(source,[1]!PORTS,0),MATCH(vessel,[1]!PORT_CHARGE_SHIPS,0))/vessel_mmbtu))</f>
        <v/>
      </c>
      <c r="L144" s="120" t="str">
        <f aca="false">IF($G144=0,"",(+INDEX([1]!PORT_CHARGES,MATCH(destination,[1]!PORTS,0),MATCH(vessel,[1]!PORT_CHARGE_SHIPS,0))/vessel_mmbtu))</f>
        <v/>
      </c>
      <c r="M144" s="120" t="str">
        <f aca="false">IF($G144=0,"",IF(route_choice=1,INDEX([1]!PORT_CHARGES,MATCH(suez,[1]!PORTS,0),MATCH(vessel,[1]!PORT_CHARGE_SHIPS,0)),0)/vessel_mmbtu)</f>
        <v/>
      </c>
      <c r="N144" s="120" t="str">
        <f aca="false">+IF(G144=0,"",+HLOOKUP(vessel,[1]!other_cost,3,0))</f>
        <v/>
      </c>
      <c r="O144" s="121" t="str">
        <f aca="false">+IF(G144=0,"",SUM(H144:N144))</f>
        <v/>
      </c>
      <c r="P144" s="88"/>
      <c r="Q144" s="90"/>
    </row>
    <row r="145" customFormat="false" ht="12.75" hidden="false" customHeight="false" outlineLevel="0" collapsed="false">
      <c r="E145" s="117" t="n">
        <f aca="false">+DATE(YEAR(E144),MONTH(E144)+1,1)</f>
        <v>50041</v>
      </c>
      <c r="F145" s="118" t="e">
        <f aca="false">+VLOOKUP(E145,[1]!curvecalc,3,0)</f>
        <v>#N/A</v>
      </c>
      <c r="G145" s="119" t="n">
        <f aca="false">+IF(AND(startdate&lt;=E145,enddate&gt;=E145),1,0)</f>
        <v>0</v>
      </c>
      <c r="H145" s="120" t="str">
        <f aca="false">+IF($G145=0,"",(+VLOOKUP($E145,[1]!FIXED_CHARTER_COST,HLOOKUP(vessel_choice,[1]!FIXED_CHARTER_COST,2,0)+1,0)*roundtrip_days)/vessel_mmbtu)</f>
        <v/>
      </c>
      <c r="I145" s="120" t="str">
        <f aca="false">+IF($G145=0,"",(+VLOOKUP($E145,[1]!OM_CHARTER_COST,HLOOKUP(vessel_choice,[1]!OM_CHARTER_COST,2,0)+1,0)*roundtrip_days)/vessel_mmbtu)</f>
        <v/>
      </c>
      <c r="J145" s="120" t="str">
        <f aca="false">IF($G145=0,"",(INDEX([1]!bunker_cost,MATCH(route,[1]!bunker_cost_route,0),MATCH(vessel_choice,[1]!bunker_cost_ship,0))/vessel_mmbtu))</f>
        <v/>
      </c>
      <c r="K145" s="120" t="str">
        <f aca="false">IF($G145=0,"",(+INDEX([1]!PORT_CHARGES,MATCH(source,[1]!PORTS,0),MATCH(vessel,[1]!PORT_CHARGE_SHIPS,0))/vessel_mmbtu))</f>
        <v/>
      </c>
      <c r="L145" s="120" t="str">
        <f aca="false">IF($G145=0,"",(+INDEX([1]!PORT_CHARGES,MATCH(destination,[1]!PORTS,0),MATCH(vessel,[1]!PORT_CHARGE_SHIPS,0))/vessel_mmbtu))</f>
        <v/>
      </c>
      <c r="M145" s="120" t="str">
        <f aca="false">IF($G145=0,"",IF(route_choice=1,INDEX([1]!PORT_CHARGES,MATCH(suez,[1]!PORTS,0),MATCH(vessel,[1]!PORT_CHARGE_SHIPS,0)),0)/vessel_mmbtu)</f>
        <v/>
      </c>
      <c r="N145" s="120" t="str">
        <f aca="false">+IF(G145=0,"",+HLOOKUP(vessel,[1]!other_cost,3,0))</f>
        <v/>
      </c>
      <c r="O145" s="121" t="str">
        <f aca="false">+IF(G145=0,"",SUM(H145:N145))</f>
        <v/>
      </c>
      <c r="P145" s="88"/>
      <c r="Q145" s="90"/>
    </row>
    <row r="146" customFormat="false" ht="12.75" hidden="false" customHeight="false" outlineLevel="0" collapsed="false">
      <c r="E146" s="117" t="n">
        <f aca="false">+DATE(YEAR(E145),MONTH(E145)+1,1)</f>
        <v>50072</v>
      </c>
      <c r="F146" s="118" t="e">
        <f aca="false">+VLOOKUP(E146,[1]!curvecalc,3,0)</f>
        <v>#N/A</v>
      </c>
      <c r="G146" s="119" t="n">
        <f aca="false">+IF(AND(startdate&lt;=E146,enddate&gt;=E146),1,0)</f>
        <v>0</v>
      </c>
      <c r="H146" s="120" t="str">
        <f aca="false">+IF($G146=0,"",(+VLOOKUP($E146,[1]!FIXED_CHARTER_COST,HLOOKUP(vessel_choice,[1]!FIXED_CHARTER_COST,2,0)+1,0)*roundtrip_days)/vessel_mmbtu)</f>
        <v/>
      </c>
      <c r="I146" s="120" t="str">
        <f aca="false">+IF($G146=0,"",(+VLOOKUP($E146,[1]!OM_CHARTER_COST,HLOOKUP(vessel_choice,[1]!OM_CHARTER_COST,2,0)+1,0)*roundtrip_days)/vessel_mmbtu)</f>
        <v/>
      </c>
      <c r="J146" s="120" t="str">
        <f aca="false">IF($G146=0,"",(INDEX([1]!bunker_cost,MATCH(route,[1]!bunker_cost_route,0),MATCH(vessel_choice,[1]!bunker_cost_ship,0))/vessel_mmbtu))</f>
        <v/>
      </c>
      <c r="K146" s="120" t="str">
        <f aca="false">IF($G146=0,"",(+INDEX([1]!PORT_CHARGES,MATCH(source,[1]!PORTS,0),MATCH(vessel,[1]!PORT_CHARGE_SHIPS,0))/vessel_mmbtu))</f>
        <v/>
      </c>
      <c r="L146" s="120" t="str">
        <f aca="false">IF($G146=0,"",(+INDEX([1]!PORT_CHARGES,MATCH(destination,[1]!PORTS,0),MATCH(vessel,[1]!PORT_CHARGE_SHIPS,0))/vessel_mmbtu))</f>
        <v/>
      </c>
      <c r="M146" s="120" t="str">
        <f aca="false">IF($G146=0,"",IF(route_choice=1,INDEX([1]!PORT_CHARGES,MATCH(suez,[1]!PORTS,0),MATCH(vessel,[1]!PORT_CHARGE_SHIPS,0)),0)/vessel_mmbtu)</f>
        <v/>
      </c>
      <c r="N146" s="120" t="str">
        <f aca="false">+IF(G146=0,"",+HLOOKUP(vessel,[1]!other_cost,3,0))</f>
        <v/>
      </c>
      <c r="O146" s="121" t="str">
        <f aca="false">+IF(G146=0,"",SUM(H146:N146))</f>
        <v/>
      </c>
      <c r="P146" s="88"/>
      <c r="Q146" s="90"/>
    </row>
    <row r="147" customFormat="false" ht="12.75" hidden="false" customHeight="false" outlineLevel="0" collapsed="false">
      <c r="E147" s="117" t="n">
        <f aca="false">+DATE(YEAR(E146),MONTH(E146)+1,1)</f>
        <v>50100</v>
      </c>
      <c r="F147" s="118" t="e">
        <f aca="false">+VLOOKUP(E147,[1]!curvecalc,3,0)</f>
        <v>#N/A</v>
      </c>
      <c r="G147" s="119" t="n">
        <f aca="false">+IF(AND(startdate&lt;=E147,enddate&gt;=E147),1,0)</f>
        <v>0</v>
      </c>
      <c r="H147" s="120" t="str">
        <f aca="false">+IF($G147=0,"",(+VLOOKUP($E147,[1]!FIXED_CHARTER_COST,HLOOKUP(vessel_choice,[1]!FIXED_CHARTER_COST,2,0)+1,0)*roundtrip_days)/vessel_mmbtu)</f>
        <v/>
      </c>
      <c r="I147" s="120" t="str">
        <f aca="false">+IF($G147=0,"",(+VLOOKUP($E147,[1]!OM_CHARTER_COST,HLOOKUP(vessel_choice,[1]!OM_CHARTER_COST,2,0)+1,0)*roundtrip_days)/vessel_mmbtu)</f>
        <v/>
      </c>
      <c r="J147" s="120" t="str">
        <f aca="false">IF($G147=0,"",(INDEX([1]!bunker_cost,MATCH(route,[1]!bunker_cost_route,0),MATCH(vessel_choice,[1]!bunker_cost_ship,0))/vessel_mmbtu))</f>
        <v/>
      </c>
      <c r="K147" s="120" t="str">
        <f aca="false">IF($G147=0,"",(+INDEX([1]!PORT_CHARGES,MATCH(source,[1]!PORTS,0),MATCH(vessel,[1]!PORT_CHARGE_SHIPS,0))/vessel_mmbtu))</f>
        <v/>
      </c>
      <c r="L147" s="120" t="str">
        <f aca="false">IF($G147=0,"",(+INDEX([1]!PORT_CHARGES,MATCH(destination,[1]!PORTS,0),MATCH(vessel,[1]!PORT_CHARGE_SHIPS,0))/vessel_mmbtu))</f>
        <v/>
      </c>
      <c r="M147" s="120" t="str">
        <f aca="false">IF($G147=0,"",IF(route_choice=1,INDEX([1]!PORT_CHARGES,MATCH(suez,[1]!PORTS,0),MATCH(vessel,[1]!PORT_CHARGE_SHIPS,0)),0)/vessel_mmbtu)</f>
        <v/>
      </c>
      <c r="N147" s="120" t="str">
        <f aca="false">+IF(G147=0,"",+HLOOKUP(vessel,[1]!other_cost,3,0))</f>
        <v/>
      </c>
      <c r="O147" s="121" t="str">
        <f aca="false">+IF(G147=0,"",SUM(H147:N147))</f>
        <v/>
      </c>
      <c r="P147" s="88"/>
      <c r="Q147" s="90"/>
    </row>
    <row r="148" customFormat="false" ht="12.75" hidden="false" customHeight="false" outlineLevel="0" collapsed="false">
      <c r="E148" s="117" t="n">
        <f aca="false">+DATE(YEAR(E147),MONTH(E147)+1,1)</f>
        <v>50131</v>
      </c>
      <c r="F148" s="118" t="e">
        <f aca="false">+VLOOKUP(E148,[1]!curvecalc,3,0)</f>
        <v>#N/A</v>
      </c>
      <c r="G148" s="119" t="n">
        <f aca="false">+IF(AND(startdate&lt;=E148,enddate&gt;=E148),1,0)</f>
        <v>0</v>
      </c>
      <c r="H148" s="120" t="str">
        <f aca="false">+IF($G148=0,"",(+VLOOKUP($E148,[1]!FIXED_CHARTER_COST,HLOOKUP(vessel_choice,[1]!FIXED_CHARTER_COST,2,0)+1,0)*roundtrip_days)/vessel_mmbtu)</f>
        <v/>
      </c>
      <c r="I148" s="120" t="str">
        <f aca="false">+IF($G148=0,"",(+VLOOKUP($E148,[1]!OM_CHARTER_COST,HLOOKUP(vessel_choice,[1]!OM_CHARTER_COST,2,0)+1,0)*roundtrip_days)/vessel_mmbtu)</f>
        <v/>
      </c>
      <c r="J148" s="120" t="str">
        <f aca="false">IF($G148=0,"",(INDEX([1]!bunker_cost,MATCH(route,[1]!bunker_cost_route,0),MATCH(vessel_choice,[1]!bunker_cost_ship,0))/vessel_mmbtu))</f>
        <v/>
      </c>
      <c r="K148" s="120" t="str">
        <f aca="false">IF($G148=0,"",(+INDEX([1]!PORT_CHARGES,MATCH(source,[1]!PORTS,0),MATCH(vessel,[1]!PORT_CHARGE_SHIPS,0))/vessel_mmbtu))</f>
        <v/>
      </c>
      <c r="L148" s="120" t="str">
        <f aca="false">IF($G148=0,"",(+INDEX([1]!PORT_CHARGES,MATCH(destination,[1]!PORTS,0),MATCH(vessel,[1]!PORT_CHARGE_SHIPS,0))/vessel_mmbtu))</f>
        <v/>
      </c>
      <c r="M148" s="120" t="str">
        <f aca="false">IF($G148=0,"",IF(route_choice=1,INDEX([1]!PORT_CHARGES,MATCH(suez,[1]!PORTS,0),MATCH(vessel,[1]!PORT_CHARGE_SHIPS,0)),0)/vessel_mmbtu)</f>
        <v/>
      </c>
      <c r="N148" s="120" t="str">
        <f aca="false">+IF(G148=0,"",+HLOOKUP(vessel,[1]!other_cost,3,0))</f>
        <v/>
      </c>
      <c r="O148" s="121" t="str">
        <f aca="false">+IF(G148=0,"",SUM(H148:N148))</f>
        <v/>
      </c>
      <c r="P148" s="88"/>
      <c r="Q148" s="90"/>
    </row>
    <row r="149" customFormat="false" ht="12.75" hidden="false" customHeight="false" outlineLevel="0" collapsed="false">
      <c r="E149" s="117" t="n">
        <f aca="false">+DATE(YEAR(E148),MONTH(E148)+1,1)</f>
        <v>50161</v>
      </c>
      <c r="F149" s="118" t="e">
        <f aca="false">+VLOOKUP(E149,[1]!curvecalc,3,0)</f>
        <v>#N/A</v>
      </c>
      <c r="G149" s="119" t="n">
        <f aca="false">+IF(AND(startdate&lt;=E149,enddate&gt;=E149),1,0)</f>
        <v>0</v>
      </c>
      <c r="H149" s="120" t="str">
        <f aca="false">+IF($G149=0,"",(+VLOOKUP($E149,[1]!FIXED_CHARTER_COST,HLOOKUP(vessel_choice,[1]!FIXED_CHARTER_COST,2,0)+1,0)*roundtrip_days)/vessel_mmbtu)</f>
        <v/>
      </c>
      <c r="I149" s="120" t="str">
        <f aca="false">+IF($G149=0,"",(+VLOOKUP($E149,[1]!OM_CHARTER_COST,HLOOKUP(vessel_choice,[1]!OM_CHARTER_COST,2,0)+1,0)*roundtrip_days)/vessel_mmbtu)</f>
        <v/>
      </c>
      <c r="J149" s="120" t="str">
        <f aca="false">IF($G149=0,"",(INDEX([1]!bunker_cost,MATCH(route,[1]!bunker_cost_route,0),MATCH(vessel_choice,[1]!bunker_cost_ship,0))/vessel_mmbtu))</f>
        <v/>
      </c>
      <c r="K149" s="120" t="str">
        <f aca="false">IF($G149=0,"",(+INDEX([1]!PORT_CHARGES,MATCH(source,[1]!PORTS,0),MATCH(vessel,[1]!PORT_CHARGE_SHIPS,0))/vessel_mmbtu))</f>
        <v/>
      </c>
      <c r="L149" s="120" t="str">
        <f aca="false">IF($G149=0,"",(+INDEX([1]!PORT_CHARGES,MATCH(destination,[1]!PORTS,0),MATCH(vessel,[1]!PORT_CHARGE_SHIPS,0))/vessel_mmbtu))</f>
        <v/>
      </c>
      <c r="M149" s="120" t="str">
        <f aca="false">IF($G149=0,"",IF(route_choice=1,INDEX([1]!PORT_CHARGES,MATCH(suez,[1]!PORTS,0),MATCH(vessel,[1]!PORT_CHARGE_SHIPS,0)),0)/vessel_mmbtu)</f>
        <v/>
      </c>
      <c r="N149" s="120" t="str">
        <f aca="false">+IF(G149=0,"",+HLOOKUP(vessel,[1]!other_cost,3,0))</f>
        <v/>
      </c>
      <c r="O149" s="121" t="str">
        <f aca="false">+IF(G149=0,"",SUM(H149:N149))</f>
        <v/>
      </c>
      <c r="P149" s="88"/>
      <c r="Q149" s="90"/>
    </row>
    <row r="150" customFormat="false" ht="12.75" hidden="false" customHeight="false" outlineLevel="0" collapsed="false">
      <c r="E150" s="117" t="n">
        <f aca="false">+DATE(YEAR(E149),MONTH(E149)+1,1)</f>
        <v>50192</v>
      </c>
      <c r="F150" s="118" t="e">
        <f aca="false">+VLOOKUP(E150,[1]!curvecalc,3,0)</f>
        <v>#N/A</v>
      </c>
      <c r="G150" s="119" t="n">
        <f aca="false">+IF(AND(startdate&lt;=E150,enddate&gt;=E150),1,0)</f>
        <v>0</v>
      </c>
      <c r="H150" s="120" t="str">
        <f aca="false">+IF($G150=0,"",(+VLOOKUP($E150,[1]!FIXED_CHARTER_COST,HLOOKUP(vessel_choice,[1]!FIXED_CHARTER_COST,2,0)+1,0)*roundtrip_days)/vessel_mmbtu)</f>
        <v/>
      </c>
      <c r="I150" s="120" t="str">
        <f aca="false">+IF($G150=0,"",(+VLOOKUP($E150,[1]!OM_CHARTER_COST,HLOOKUP(vessel_choice,[1]!OM_CHARTER_COST,2,0)+1,0)*roundtrip_days)/vessel_mmbtu)</f>
        <v/>
      </c>
      <c r="J150" s="120" t="str">
        <f aca="false">IF($G150=0,"",(INDEX([1]!bunker_cost,MATCH(route,[1]!bunker_cost_route,0),MATCH(vessel_choice,[1]!bunker_cost_ship,0))/vessel_mmbtu))</f>
        <v/>
      </c>
      <c r="K150" s="120" t="str">
        <f aca="false">IF($G150=0,"",(+INDEX([1]!PORT_CHARGES,MATCH(source,[1]!PORTS,0),MATCH(vessel,[1]!PORT_CHARGE_SHIPS,0))/vessel_mmbtu))</f>
        <v/>
      </c>
      <c r="L150" s="120" t="str">
        <f aca="false">IF($G150=0,"",(+INDEX([1]!PORT_CHARGES,MATCH(destination,[1]!PORTS,0),MATCH(vessel,[1]!PORT_CHARGE_SHIPS,0))/vessel_mmbtu))</f>
        <v/>
      </c>
      <c r="M150" s="120" t="str">
        <f aca="false">IF($G150=0,"",IF(route_choice=1,INDEX([1]!PORT_CHARGES,MATCH(suez,[1]!PORTS,0),MATCH(vessel,[1]!PORT_CHARGE_SHIPS,0)),0)/vessel_mmbtu)</f>
        <v/>
      </c>
      <c r="N150" s="120" t="str">
        <f aca="false">+IF(G150=0,"",+HLOOKUP(vessel,[1]!other_cost,3,0))</f>
        <v/>
      </c>
      <c r="O150" s="121" t="str">
        <f aca="false">+IF(G150=0,"",SUM(H150:N150))</f>
        <v/>
      </c>
      <c r="P150" s="88"/>
      <c r="Q150" s="90"/>
    </row>
    <row r="151" customFormat="false" ht="12.75" hidden="false" customHeight="false" outlineLevel="0" collapsed="false">
      <c r="E151" s="117" t="n">
        <f aca="false">+DATE(YEAR(E150),MONTH(E150)+1,1)</f>
        <v>50222</v>
      </c>
      <c r="F151" s="118" t="e">
        <f aca="false">+VLOOKUP(E151,[1]!curvecalc,3,0)</f>
        <v>#N/A</v>
      </c>
      <c r="G151" s="119" t="n">
        <f aca="false">+IF(AND(startdate&lt;=E151,enddate&gt;=E151),1,0)</f>
        <v>0</v>
      </c>
      <c r="H151" s="120" t="str">
        <f aca="false">+IF($G151=0,"",(+VLOOKUP($E151,[1]!FIXED_CHARTER_COST,HLOOKUP(vessel_choice,[1]!FIXED_CHARTER_COST,2,0)+1,0)*roundtrip_days)/vessel_mmbtu)</f>
        <v/>
      </c>
      <c r="I151" s="120" t="str">
        <f aca="false">+IF($G151=0,"",(+VLOOKUP($E151,[1]!OM_CHARTER_COST,HLOOKUP(vessel_choice,[1]!OM_CHARTER_COST,2,0)+1,0)*roundtrip_days)/vessel_mmbtu)</f>
        <v/>
      </c>
      <c r="J151" s="120" t="str">
        <f aca="false">IF($G151=0,"",(INDEX([1]!bunker_cost,MATCH(route,[1]!bunker_cost_route,0),MATCH(vessel_choice,[1]!bunker_cost_ship,0))/vessel_mmbtu))</f>
        <v/>
      </c>
      <c r="K151" s="120" t="str">
        <f aca="false">IF($G151=0,"",(+INDEX([1]!PORT_CHARGES,MATCH(source,[1]!PORTS,0),MATCH(vessel,[1]!PORT_CHARGE_SHIPS,0))/vessel_mmbtu))</f>
        <v/>
      </c>
      <c r="L151" s="120" t="str">
        <f aca="false">IF($G151=0,"",(+INDEX([1]!PORT_CHARGES,MATCH(destination,[1]!PORTS,0),MATCH(vessel,[1]!PORT_CHARGE_SHIPS,0))/vessel_mmbtu))</f>
        <v/>
      </c>
      <c r="M151" s="120" t="str">
        <f aca="false">IF($G151=0,"",IF(route_choice=1,INDEX([1]!PORT_CHARGES,MATCH(suez,[1]!PORTS,0),MATCH(vessel,[1]!PORT_CHARGE_SHIPS,0)),0)/vessel_mmbtu)</f>
        <v/>
      </c>
      <c r="N151" s="120" t="str">
        <f aca="false">+IF(G151=0,"",+HLOOKUP(vessel,[1]!other_cost,3,0))</f>
        <v/>
      </c>
      <c r="O151" s="121" t="str">
        <f aca="false">+IF(G151=0,"",SUM(H151:N151))</f>
        <v/>
      </c>
      <c r="P151" s="88"/>
      <c r="Q151" s="90"/>
    </row>
    <row r="152" customFormat="false" ht="12.75" hidden="false" customHeight="false" outlineLevel="0" collapsed="false">
      <c r="E152" s="117" t="n">
        <f aca="false">+DATE(YEAR(E151),MONTH(E151)+1,1)</f>
        <v>50253</v>
      </c>
      <c r="F152" s="118" t="e">
        <f aca="false">+VLOOKUP(E152,[1]!curvecalc,3,0)</f>
        <v>#N/A</v>
      </c>
      <c r="G152" s="119" t="n">
        <f aca="false">+IF(AND(startdate&lt;=E152,enddate&gt;=E152),1,0)</f>
        <v>0</v>
      </c>
      <c r="H152" s="120" t="str">
        <f aca="false">+IF($G152=0,"",(+VLOOKUP($E152,[1]!FIXED_CHARTER_COST,HLOOKUP(vessel_choice,[1]!FIXED_CHARTER_COST,2,0)+1,0)*roundtrip_days)/vessel_mmbtu)</f>
        <v/>
      </c>
      <c r="I152" s="120" t="str">
        <f aca="false">+IF($G152=0,"",(+VLOOKUP($E152,[1]!OM_CHARTER_COST,HLOOKUP(vessel_choice,[1]!OM_CHARTER_COST,2,0)+1,0)*roundtrip_days)/vessel_mmbtu)</f>
        <v/>
      </c>
      <c r="J152" s="120" t="str">
        <f aca="false">IF($G152=0,"",(INDEX([1]!bunker_cost,MATCH(route,[1]!bunker_cost_route,0),MATCH(vessel_choice,[1]!bunker_cost_ship,0))/vessel_mmbtu))</f>
        <v/>
      </c>
      <c r="K152" s="120" t="str">
        <f aca="false">IF($G152=0,"",(+INDEX([1]!PORT_CHARGES,MATCH(source,[1]!PORTS,0),MATCH(vessel,[1]!PORT_CHARGE_SHIPS,0))/vessel_mmbtu))</f>
        <v/>
      </c>
      <c r="L152" s="120" t="str">
        <f aca="false">IF($G152=0,"",(+INDEX([1]!PORT_CHARGES,MATCH(destination,[1]!PORTS,0),MATCH(vessel,[1]!PORT_CHARGE_SHIPS,0))/vessel_mmbtu))</f>
        <v/>
      </c>
      <c r="M152" s="120" t="str">
        <f aca="false">IF($G152=0,"",IF(route_choice=1,INDEX([1]!PORT_CHARGES,MATCH(suez,[1]!PORTS,0),MATCH(vessel,[1]!PORT_CHARGE_SHIPS,0)),0)/vessel_mmbtu)</f>
        <v/>
      </c>
      <c r="N152" s="120" t="str">
        <f aca="false">+IF(G152=0,"",+HLOOKUP(vessel,[1]!other_cost,3,0))</f>
        <v/>
      </c>
      <c r="O152" s="121" t="str">
        <f aca="false">+IF(G152=0,"",SUM(H152:N152))</f>
        <v/>
      </c>
      <c r="P152" s="88"/>
      <c r="Q152" s="90"/>
    </row>
    <row r="153" customFormat="false" ht="12.75" hidden="false" customHeight="false" outlineLevel="0" collapsed="false">
      <c r="E153" s="117" t="n">
        <f aca="false">+DATE(YEAR(E152),MONTH(E152)+1,1)</f>
        <v>50284</v>
      </c>
      <c r="F153" s="118" t="e">
        <f aca="false">+VLOOKUP(E153,[1]!curvecalc,3,0)</f>
        <v>#N/A</v>
      </c>
      <c r="G153" s="119" t="n">
        <f aca="false">+IF(AND(startdate&lt;=E153,enddate&gt;=E153),1,0)</f>
        <v>0</v>
      </c>
      <c r="H153" s="120" t="str">
        <f aca="false">+IF($G153=0,"",(+VLOOKUP($E153,[1]!FIXED_CHARTER_COST,HLOOKUP(vessel_choice,[1]!FIXED_CHARTER_COST,2,0)+1,0)*roundtrip_days)/vessel_mmbtu)</f>
        <v/>
      </c>
      <c r="I153" s="120" t="str">
        <f aca="false">+IF($G153=0,"",(+VLOOKUP($E153,[1]!OM_CHARTER_COST,HLOOKUP(vessel_choice,[1]!OM_CHARTER_COST,2,0)+1,0)*roundtrip_days)/vessel_mmbtu)</f>
        <v/>
      </c>
      <c r="J153" s="120" t="str">
        <f aca="false">IF($G153=0,"",(INDEX([1]!bunker_cost,MATCH(route,[1]!bunker_cost_route,0),MATCH(vessel_choice,[1]!bunker_cost_ship,0))/vessel_mmbtu))</f>
        <v/>
      </c>
      <c r="K153" s="120" t="str">
        <f aca="false">IF($G153=0,"",(+INDEX([1]!PORT_CHARGES,MATCH(source,[1]!PORTS,0),MATCH(vessel,[1]!PORT_CHARGE_SHIPS,0))/vessel_mmbtu))</f>
        <v/>
      </c>
      <c r="L153" s="120" t="str">
        <f aca="false">IF($G153=0,"",(+INDEX([1]!PORT_CHARGES,MATCH(destination,[1]!PORTS,0),MATCH(vessel,[1]!PORT_CHARGE_SHIPS,0))/vessel_mmbtu))</f>
        <v/>
      </c>
      <c r="M153" s="120" t="str">
        <f aca="false">IF($G153=0,"",IF(route_choice=1,INDEX([1]!PORT_CHARGES,MATCH(suez,[1]!PORTS,0),MATCH(vessel,[1]!PORT_CHARGE_SHIPS,0)),0)/vessel_mmbtu)</f>
        <v/>
      </c>
      <c r="N153" s="120" t="str">
        <f aca="false">+IF(G153=0,"",+HLOOKUP(vessel,[1]!other_cost,3,0))</f>
        <v/>
      </c>
      <c r="O153" s="121" t="str">
        <f aca="false">+IF(G153=0,"",SUM(H153:N153))</f>
        <v/>
      </c>
      <c r="P153" s="88"/>
      <c r="Q153" s="90"/>
    </row>
    <row r="154" customFormat="false" ht="12.75" hidden="false" customHeight="false" outlineLevel="0" collapsed="false">
      <c r="E154" s="117" t="n">
        <f aca="false">+DATE(YEAR(E153),MONTH(E153)+1,1)</f>
        <v>50314</v>
      </c>
      <c r="F154" s="118" t="e">
        <f aca="false">+VLOOKUP(E154,[1]!curvecalc,3,0)</f>
        <v>#N/A</v>
      </c>
      <c r="G154" s="119" t="n">
        <f aca="false">+IF(AND(startdate&lt;=E154,enddate&gt;=E154),1,0)</f>
        <v>0</v>
      </c>
      <c r="H154" s="120" t="str">
        <f aca="false">+IF($G154=0,"",(+VLOOKUP($E154,[1]!FIXED_CHARTER_COST,HLOOKUP(vessel_choice,[1]!FIXED_CHARTER_COST,2,0)+1,0)*roundtrip_days)/vessel_mmbtu)</f>
        <v/>
      </c>
      <c r="I154" s="120" t="str">
        <f aca="false">+IF($G154=0,"",(+VLOOKUP($E154,[1]!OM_CHARTER_COST,HLOOKUP(vessel_choice,[1]!OM_CHARTER_COST,2,0)+1,0)*roundtrip_days)/vessel_mmbtu)</f>
        <v/>
      </c>
      <c r="J154" s="120" t="str">
        <f aca="false">IF($G154=0,"",(INDEX([1]!bunker_cost,MATCH(route,[1]!bunker_cost_route,0),MATCH(vessel_choice,[1]!bunker_cost_ship,0))/vessel_mmbtu))</f>
        <v/>
      </c>
      <c r="K154" s="120" t="str">
        <f aca="false">IF($G154=0,"",(+INDEX([1]!PORT_CHARGES,MATCH(source,[1]!PORTS,0),MATCH(vessel,[1]!PORT_CHARGE_SHIPS,0))/vessel_mmbtu))</f>
        <v/>
      </c>
      <c r="L154" s="120" t="str">
        <f aca="false">IF($G154=0,"",(+INDEX([1]!PORT_CHARGES,MATCH(destination,[1]!PORTS,0),MATCH(vessel,[1]!PORT_CHARGE_SHIPS,0))/vessel_mmbtu))</f>
        <v/>
      </c>
      <c r="M154" s="120" t="str">
        <f aca="false">IF($G154=0,"",IF(route_choice=1,INDEX([1]!PORT_CHARGES,MATCH(suez,[1]!PORTS,0),MATCH(vessel,[1]!PORT_CHARGE_SHIPS,0)),0)/vessel_mmbtu)</f>
        <v/>
      </c>
      <c r="N154" s="120" t="str">
        <f aca="false">+IF(G154=0,"",+HLOOKUP(vessel,[1]!other_cost,3,0))</f>
        <v/>
      </c>
      <c r="O154" s="121" t="str">
        <f aca="false">+IF(G154=0,"",SUM(H154:N154))</f>
        <v/>
      </c>
      <c r="P154" s="88"/>
      <c r="Q154" s="90"/>
    </row>
    <row r="155" customFormat="false" ht="12.75" hidden="false" customHeight="false" outlineLevel="0" collapsed="false">
      <c r="E155" s="117" t="n">
        <f aca="false">+DATE(YEAR(E154),MONTH(E154)+1,1)</f>
        <v>50345</v>
      </c>
      <c r="F155" s="118" t="e">
        <f aca="false">+VLOOKUP(E155,[1]!curvecalc,3,0)</f>
        <v>#N/A</v>
      </c>
      <c r="G155" s="119" t="n">
        <f aca="false">+IF(AND(startdate&lt;=E155,enddate&gt;=E155),1,0)</f>
        <v>0</v>
      </c>
      <c r="H155" s="120" t="str">
        <f aca="false">+IF($G155=0,"",(+VLOOKUP($E155,[1]!FIXED_CHARTER_COST,HLOOKUP(vessel_choice,[1]!FIXED_CHARTER_COST,2,0)+1,0)*roundtrip_days)/vessel_mmbtu)</f>
        <v/>
      </c>
      <c r="I155" s="120" t="str">
        <f aca="false">+IF($G155=0,"",(+VLOOKUP($E155,[1]!OM_CHARTER_COST,HLOOKUP(vessel_choice,[1]!OM_CHARTER_COST,2,0)+1,0)*roundtrip_days)/vessel_mmbtu)</f>
        <v/>
      </c>
      <c r="J155" s="120" t="str">
        <f aca="false">IF($G155=0,"",(INDEX([1]!bunker_cost,MATCH(route,[1]!bunker_cost_route,0),MATCH(vessel_choice,[1]!bunker_cost_ship,0))/vessel_mmbtu))</f>
        <v/>
      </c>
      <c r="K155" s="120" t="str">
        <f aca="false">IF($G155=0,"",(+INDEX([1]!PORT_CHARGES,MATCH(source,[1]!PORTS,0),MATCH(vessel,[1]!PORT_CHARGE_SHIPS,0))/vessel_mmbtu))</f>
        <v/>
      </c>
      <c r="L155" s="120" t="str">
        <f aca="false">IF($G155=0,"",(+INDEX([1]!PORT_CHARGES,MATCH(destination,[1]!PORTS,0),MATCH(vessel,[1]!PORT_CHARGE_SHIPS,0))/vessel_mmbtu))</f>
        <v/>
      </c>
      <c r="M155" s="120" t="str">
        <f aca="false">IF($G155=0,"",IF(route_choice=1,INDEX([1]!PORT_CHARGES,MATCH(suez,[1]!PORTS,0),MATCH(vessel,[1]!PORT_CHARGE_SHIPS,0)),0)/vessel_mmbtu)</f>
        <v/>
      </c>
      <c r="N155" s="120" t="str">
        <f aca="false">+IF(G155=0,"",+HLOOKUP(vessel,[1]!other_cost,3,0))</f>
        <v/>
      </c>
      <c r="O155" s="121" t="str">
        <f aca="false">+IF(G155=0,"",SUM(H155:N155))</f>
        <v/>
      </c>
      <c r="P155" s="88"/>
      <c r="Q155" s="90"/>
    </row>
    <row r="156" customFormat="false" ht="12.75" hidden="false" customHeight="false" outlineLevel="0" collapsed="false">
      <c r="E156" s="117" t="n">
        <f aca="false">+DATE(YEAR(E155),MONTH(E155)+1,1)</f>
        <v>50375</v>
      </c>
      <c r="F156" s="118" t="e">
        <f aca="false">+VLOOKUP(E156,[1]!curvecalc,3,0)</f>
        <v>#N/A</v>
      </c>
      <c r="G156" s="119" t="n">
        <f aca="false">+IF(AND(startdate&lt;=E156,enddate&gt;=E156),1,0)</f>
        <v>0</v>
      </c>
      <c r="H156" s="120" t="str">
        <f aca="false">+IF($G156=0,"",(+VLOOKUP($E156,[1]!FIXED_CHARTER_COST,HLOOKUP(vessel_choice,[1]!FIXED_CHARTER_COST,2,0)+1,0)*roundtrip_days)/vessel_mmbtu)</f>
        <v/>
      </c>
      <c r="I156" s="120" t="str">
        <f aca="false">+IF($G156=0,"",(+VLOOKUP($E156,[1]!OM_CHARTER_COST,HLOOKUP(vessel_choice,[1]!OM_CHARTER_COST,2,0)+1,0)*roundtrip_days)/vessel_mmbtu)</f>
        <v/>
      </c>
      <c r="J156" s="120" t="str">
        <f aca="false">IF($G156=0,"",(INDEX([1]!bunker_cost,MATCH(route,[1]!bunker_cost_route,0),MATCH(vessel_choice,[1]!bunker_cost_ship,0))/vessel_mmbtu))</f>
        <v/>
      </c>
      <c r="K156" s="120" t="str">
        <f aca="false">IF($G156=0,"",(+INDEX([1]!PORT_CHARGES,MATCH(source,[1]!PORTS,0),MATCH(vessel,[1]!PORT_CHARGE_SHIPS,0))/vessel_mmbtu))</f>
        <v/>
      </c>
      <c r="L156" s="120" t="str">
        <f aca="false">IF($G156=0,"",(+INDEX([1]!PORT_CHARGES,MATCH(destination,[1]!PORTS,0),MATCH(vessel,[1]!PORT_CHARGE_SHIPS,0))/vessel_mmbtu))</f>
        <v/>
      </c>
      <c r="M156" s="120" t="str">
        <f aca="false">IF($G156=0,"",IF(route_choice=1,INDEX([1]!PORT_CHARGES,MATCH(suez,[1]!PORTS,0),MATCH(vessel,[1]!PORT_CHARGE_SHIPS,0)),0)/vessel_mmbtu)</f>
        <v/>
      </c>
      <c r="N156" s="120" t="str">
        <f aca="false">+IF(G156=0,"",+HLOOKUP(vessel,[1]!other_cost,3,0))</f>
        <v/>
      </c>
      <c r="O156" s="121" t="str">
        <f aca="false">+IF(G156=0,"",SUM(H156:N156))</f>
        <v/>
      </c>
      <c r="P156" s="88"/>
      <c r="Q156" s="90"/>
    </row>
    <row r="157" customFormat="false" ht="12.75" hidden="false" customHeight="false" outlineLevel="0" collapsed="false">
      <c r="E157" s="117" t="n">
        <f aca="false">+DATE(YEAR(E156),MONTH(E156)+1,1)</f>
        <v>50406</v>
      </c>
      <c r="F157" s="118" t="e">
        <f aca="false">+VLOOKUP(E157,[1]!curvecalc,3,0)</f>
        <v>#N/A</v>
      </c>
      <c r="G157" s="119" t="n">
        <f aca="false">+IF(AND(startdate&lt;=E157,enddate&gt;=E157),1,0)</f>
        <v>0</v>
      </c>
      <c r="H157" s="120" t="str">
        <f aca="false">+IF($G157=0,"",(+VLOOKUP($E157,[1]!FIXED_CHARTER_COST,HLOOKUP(vessel_choice,[1]!FIXED_CHARTER_COST,2,0)+1,0)*roundtrip_days)/vessel_mmbtu)</f>
        <v/>
      </c>
      <c r="I157" s="120" t="str">
        <f aca="false">+IF($G157=0,"",(+VLOOKUP($E157,[1]!OM_CHARTER_COST,HLOOKUP(vessel_choice,[1]!OM_CHARTER_COST,2,0)+1,0)*roundtrip_days)/vessel_mmbtu)</f>
        <v/>
      </c>
      <c r="J157" s="120" t="str">
        <f aca="false">IF($G157=0,"",(INDEX([1]!bunker_cost,MATCH(route,[1]!bunker_cost_route,0),MATCH(vessel_choice,[1]!bunker_cost_ship,0))/vessel_mmbtu))</f>
        <v/>
      </c>
      <c r="K157" s="120" t="str">
        <f aca="false">IF($G157=0,"",(+INDEX([1]!PORT_CHARGES,MATCH(source,[1]!PORTS,0),MATCH(vessel,[1]!PORT_CHARGE_SHIPS,0))/vessel_mmbtu))</f>
        <v/>
      </c>
      <c r="L157" s="120" t="str">
        <f aca="false">IF($G157=0,"",(+INDEX([1]!PORT_CHARGES,MATCH(destination,[1]!PORTS,0),MATCH(vessel,[1]!PORT_CHARGE_SHIPS,0))/vessel_mmbtu))</f>
        <v/>
      </c>
      <c r="M157" s="120" t="str">
        <f aca="false">IF($G157=0,"",IF(route_choice=1,INDEX([1]!PORT_CHARGES,MATCH(suez,[1]!PORTS,0),MATCH(vessel,[1]!PORT_CHARGE_SHIPS,0)),0)/vessel_mmbtu)</f>
        <v/>
      </c>
      <c r="N157" s="120" t="str">
        <f aca="false">+IF(G157=0,"",+HLOOKUP(vessel,[1]!other_cost,3,0))</f>
        <v/>
      </c>
      <c r="O157" s="121" t="str">
        <f aca="false">+IF(G157=0,"",SUM(H157:N157))</f>
        <v/>
      </c>
      <c r="P157" s="88"/>
      <c r="Q157" s="90"/>
    </row>
    <row r="158" customFormat="false" ht="12.75" hidden="false" customHeight="false" outlineLevel="0" collapsed="false">
      <c r="E158" s="117" t="n">
        <f aca="false">+DATE(YEAR(E157),MONTH(E157)+1,1)</f>
        <v>50437</v>
      </c>
      <c r="F158" s="118" t="e">
        <f aca="false">+VLOOKUP(E158,[1]!curvecalc,3,0)</f>
        <v>#N/A</v>
      </c>
      <c r="G158" s="119" t="n">
        <f aca="false">+IF(AND(startdate&lt;=E158,enddate&gt;=E158),1,0)</f>
        <v>0</v>
      </c>
      <c r="H158" s="120" t="str">
        <f aca="false">+IF($G158=0,"",(+VLOOKUP($E158,[1]!FIXED_CHARTER_COST,HLOOKUP(vessel_choice,[1]!FIXED_CHARTER_COST,2,0)+1,0)*roundtrip_days)/vessel_mmbtu)</f>
        <v/>
      </c>
      <c r="I158" s="120" t="str">
        <f aca="false">+IF($G158=0,"",(+VLOOKUP($E158,[1]!OM_CHARTER_COST,HLOOKUP(vessel_choice,[1]!OM_CHARTER_COST,2,0)+1,0)*roundtrip_days)/vessel_mmbtu)</f>
        <v/>
      </c>
      <c r="J158" s="120" t="str">
        <f aca="false">IF($G158=0,"",(INDEX([1]!bunker_cost,MATCH(route,[1]!bunker_cost_route,0),MATCH(vessel_choice,[1]!bunker_cost_ship,0))/vessel_mmbtu))</f>
        <v/>
      </c>
      <c r="K158" s="120" t="str">
        <f aca="false">IF($G158=0,"",(+INDEX([1]!PORT_CHARGES,MATCH(source,[1]!PORTS,0),MATCH(vessel,[1]!PORT_CHARGE_SHIPS,0))/vessel_mmbtu))</f>
        <v/>
      </c>
      <c r="L158" s="120" t="str">
        <f aca="false">IF($G158=0,"",(+INDEX([1]!PORT_CHARGES,MATCH(destination,[1]!PORTS,0),MATCH(vessel,[1]!PORT_CHARGE_SHIPS,0))/vessel_mmbtu))</f>
        <v/>
      </c>
      <c r="M158" s="120" t="str">
        <f aca="false">IF($G158=0,"",IF(route_choice=1,INDEX([1]!PORT_CHARGES,MATCH(suez,[1]!PORTS,0),MATCH(vessel,[1]!PORT_CHARGE_SHIPS,0)),0)/vessel_mmbtu)</f>
        <v/>
      </c>
      <c r="N158" s="120" t="str">
        <f aca="false">+IF(G158=0,"",+HLOOKUP(vessel,[1]!other_cost,3,0))</f>
        <v/>
      </c>
      <c r="O158" s="121" t="str">
        <f aca="false">+IF(G158=0,"",SUM(H158:N158))</f>
        <v/>
      </c>
      <c r="P158" s="88"/>
      <c r="Q158" s="90"/>
    </row>
    <row r="159" customFormat="false" ht="12.75" hidden="false" customHeight="false" outlineLevel="0" collapsed="false">
      <c r="E159" s="117" t="n">
        <f aca="false">+DATE(YEAR(E158),MONTH(E158)+1,1)</f>
        <v>50465</v>
      </c>
      <c r="F159" s="118" t="e">
        <f aca="false">+VLOOKUP(E159,[1]!curvecalc,3,0)</f>
        <v>#N/A</v>
      </c>
      <c r="G159" s="119" t="n">
        <f aca="false">+IF(AND(startdate&lt;=E159,enddate&gt;=E159),1,0)</f>
        <v>0</v>
      </c>
      <c r="H159" s="120" t="str">
        <f aca="false">+IF($G159=0,"",(+VLOOKUP($E159,[1]!FIXED_CHARTER_COST,HLOOKUP(vessel_choice,[1]!FIXED_CHARTER_COST,2,0)+1,0)*roundtrip_days)/vessel_mmbtu)</f>
        <v/>
      </c>
      <c r="I159" s="120" t="str">
        <f aca="false">+IF($G159=0,"",(+VLOOKUP($E159,[1]!OM_CHARTER_COST,HLOOKUP(vessel_choice,[1]!OM_CHARTER_COST,2,0)+1,0)*roundtrip_days)/vessel_mmbtu)</f>
        <v/>
      </c>
      <c r="J159" s="120" t="str">
        <f aca="false">IF($G159=0,"",(INDEX([1]!bunker_cost,MATCH(route,[1]!bunker_cost_route,0),MATCH(vessel_choice,[1]!bunker_cost_ship,0))/vessel_mmbtu))</f>
        <v/>
      </c>
      <c r="K159" s="120" t="str">
        <f aca="false">IF($G159=0,"",(+INDEX([1]!PORT_CHARGES,MATCH(source,[1]!PORTS,0),MATCH(vessel,[1]!PORT_CHARGE_SHIPS,0))/vessel_mmbtu))</f>
        <v/>
      </c>
      <c r="L159" s="120" t="str">
        <f aca="false">IF($G159=0,"",(+INDEX([1]!PORT_CHARGES,MATCH(destination,[1]!PORTS,0),MATCH(vessel,[1]!PORT_CHARGE_SHIPS,0))/vessel_mmbtu))</f>
        <v/>
      </c>
      <c r="M159" s="120" t="str">
        <f aca="false">IF($G159=0,"",IF(route_choice=1,INDEX([1]!PORT_CHARGES,MATCH(suez,[1]!PORTS,0),MATCH(vessel,[1]!PORT_CHARGE_SHIPS,0)),0)/vessel_mmbtu)</f>
        <v/>
      </c>
      <c r="N159" s="120" t="str">
        <f aca="false">+IF(G159=0,"",+HLOOKUP(vessel,[1]!other_cost,3,0))</f>
        <v/>
      </c>
      <c r="O159" s="121" t="str">
        <f aca="false">+IF(G159=0,"",SUM(H159:N159))</f>
        <v/>
      </c>
      <c r="P159" s="88"/>
      <c r="Q159" s="90"/>
    </row>
    <row r="160" customFormat="false" ht="12.75" hidden="false" customHeight="false" outlineLevel="0" collapsed="false">
      <c r="E160" s="117" t="n">
        <f aca="false">+DATE(YEAR(E159),MONTH(E159)+1,1)</f>
        <v>50496</v>
      </c>
      <c r="F160" s="118" t="e">
        <f aca="false">+VLOOKUP(E160,[1]!curvecalc,3,0)</f>
        <v>#N/A</v>
      </c>
      <c r="G160" s="119" t="n">
        <f aca="false">+IF(AND(startdate&lt;=E160,enddate&gt;=E160),1,0)</f>
        <v>0</v>
      </c>
      <c r="H160" s="120" t="str">
        <f aca="false">+IF($G160=0,"",(+VLOOKUP($E160,[1]!FIXED_CHARTER_COST,HLOOKUP(vessel_choice,[1]!FIXED_CHARTER_COST,2,0)+1,0)*roundtrip_days)/vessel_mmbtu)</f>
        <v/>
      </c>
      <c r="I160" s="120" t="str">
        <f aca="false">+IF($G160=0,"",(+VLOOKUP($E160,[1]!OM_CHARTER_COST,HLOOKUP(vessel_choice,[1]!OM_CHARTER_COST,2,0)+1,0)*roundtrip_days)/vessel_mmbtu)</f>
        <v/>
      </c>
      <c r="J160" s="120" t="str">
        <f aca="false">IF($G160=0,"",(INDEX([1]!bunker_cost,MATCH(route,[1]!bunker_cost_route,0),MATCH(vessel_choice,[1]!bunker_cost_ship,0))/vessel_mmbtu))</f>
        <v/>
      </c>
      <c r="K160" s="120" t="str">
        <f aca="false">IF($G160=0,"",(+INDEX([1]!PORT_CHARGES,MATCH(source,[1]!PORTS,0),MATCH(vessel,[1]!PORT_CHARGE_SHIPS,0))/vessel_mmbtu))</f>
        <v/>
      </c>
      <c r="L160" s="120" t="str">
        <f aca="false">IF($G160=0,"",(+INDEX([1]!PORT_CHARGES,MATCH(destination,[1]!PORTS,0),MATCH(vessel,[1]!PORT_CHARGE_SHIPS,0))/vessel_mmbtu))</f>
        <v/>
      </c>
      <c r="M160" s="120" t="str">
        <f aca="false">IF($G160=0,"",IF(route_choice=1,INDEX([1]!PORT_CHARGES,MATCH(suez,[1]!PORTS,0),MATCH(vessel,[1]!PORT_CHARGE_SHIPS,0)),0)/vessel_mmbtu)</f>
        <v/>
      </c>
      <c r="N160" s="120" t="str">
        <f aca="false">+IF(G160=0,"",+HLOOKUP(vessel,[1]!other_cost,3,0))</f>
        <v/>
      </c>
      <c r="O160" s="121" t="str">
        <f aca="false">+IF(G160=0,"",SUM(H160:N160))</f>
        <v/>
      </c>
      <c r="P160" s="88"/>
      <c r="Q160" s="90"/>
    </row>
    <row r="161" customFormat="false" ht="12.75" hidden="false" customHeight="false" outlineLevel="0" collapsed="false">
      <c r="E161" s="117" t="n">
        <f aca="false">+DATE(YEAR(E160),MONTH(E160)+1,1)</f>
        <v>50526</v>
      </c>
      <c r="F161" s="118" t="e">
        <f aca="false">+VLOOKUP(E161,[1]!curvecalc,3,0)</f>
        <v>#N/A</v>
      </c>
      <c r="G161" s="119" t="n">
        <f aca="false">+IF(AND(startdate&lt;=E161,enddate&gt;=E161),1,0)</f>
        <v>0</v>
      </c>
      <c r="H161" s="120" t="str">
        <f aca="false">+IF($G161=0,"",(+VLOOKUP($E161,[1]!FIXED_CHARTER_COST,HLOOKUP(vessel_choice,[1]!FIXED_CHARTER_COST,2,0)+1,0)*roundtrip_days)/vessel_mmbtu)</f>
        <v/>
      </c>
      <c r="I161" s="120" t="str">
        <f aca="false">+IF($G161=0,"",(+VLOOKUP($E161,[1]!OM_CHARTER_COST,HLOOKUP(vessel_choice,[1]!OM_CHARTER_COST,2,0)+1,0)*roundtrip_days)/vessel_mmbtu)</f>
        <v/>
      </c>
      <c r="J161" s="120" t="str">
        <f aca="false">IF($G161=0,"",(INDEX([1]!bunker_cost,MATCH(route,[1]!bunker_cost_route,0),MATCH(vessel_choice,[1]!bunker_cost_ship,0))/vessel_mmbtu))</f>
        <v/>
      </c>
      <c r="K161" s="120" t="str">
        <f aca="false">IF($G161=0,"",(+INDEX([1]!PORT_CHARGES,MATCH(source,[1]!PORTS,0),MATCH(vessel,[1]!PORT_CHARGE_SHIPS,0))/vessel_mmbtu))</f>
        <v/>
      </c>
      <c r="L161" s="120" t="str">
        <f aca="false">IF($G161=0,"",(+INDEX([1]!PORT_CHARGES,MATCH(destination,[1]!PORTS,0),MATCH(vessel,[1]!PORT_CHARGE_SHIPS,0))/vessel_mmbtu))</f>
        <v/>
      </c>
      <c r="M161" s="120" t="str">
        <f aca="false">IF($G161=0,"",IF(route_choice=1,INDEX([1]!PORT_CHARGES,MATCH(suez,[1]!PORTS,0),MATCH(vessel,[1]!PORT_CHARGE_SHIPS,0)),0)/vessel_mmbtu)</f>
        <v/>
      </c>
      <c r="N161" s="120" t="str">
        <f aca="false">+IF(G161=0,"",+HLOOKUP(vessel,[1]!other_cost,3,0))</f>
        <v/>
      </c>
      <c r="O161" s="121" t="str">
        <f aca="false">+IF(G161=0,"",SUM(H161:N161))</f>
        <v/>
      </c>
      <c r="P161" s="88"/>
      <c r="Q161" s="90"/>
    </row>
    <row r="162" customFormat="false" ht="12.75" hidden="false" customHeight="false" outlineLevel="0" collapsed="false">
      <c r="E162" s="117" t="n">
        <f aca="false">+DATE(YEAR(E161),MONTH(E161)+1,1)</f>
        <v>50557</v>
      </c>
      <c r="F162" s="118" t="e">
        <f aca="false">+VLOOKUP(E162,[1]!curvecalc,3,0)</f>
        <v>#N/A</v>
      </c>
      <c r="G162" s="119" t="n">
        <f aca="false">+IF(AND(startdate&lt;=E162,enddate&gt;=E162),1,0)</f>
        <v>0</v>
      </c>
      <c r="H162" s="120" t="str">
        <f aca="false">+IF($G162=0,"",(+VLOOKUP($E162,[1]!FIXED_CHARTER_COST,HLOOKUP(vessel_choice,[1]!FIXED_CHARTER_COST,2,0)+1,0)*roundtrip_days)/vessel_mmbtu)</f>
        <v/>
      </c>
      <c r="I162" s="120" t="str">
        <f aca="false">+IF($G162=0,"",(+VLOOKUP($E162,[1]!OM_CHARTER_COST,HLOOKUP(vessel_choice,[1]!OM_CHARTER_COST,2,0)+1,0)*roundtrip_days)/vessel_mmbtu)</f>
        <v/>
      </c>
      <c r="J162" s="120" t="str">
        <f aca="false">IF($G162=0,"",(INDEX([1]!bunker_cost,MATCH(route,[1]!bunker_cost_route,0),MATCH(vessel_choice,[1]!bunker_cost_ship,0))/vessel_mmbtu))</f>
        <v/>
      </c>
      <c r="K162" s="120" t="str">
        <f aca="false">IF($G162=0,"",(+INDEX([1]!PORT_CHARGES,MATCH(source,[1]!PORTS,0),MATCH(vessel,[1]!PORT_CHARGE_SHIPS,0))/vessel_mmbtu))</f>
        <v/>
      </c>
      <c r="L162" s="120" t="str">
        <f aca="false">IF($G162=0,"",(+INDEX([1]!PORT_CHARGES,MATCH(destination,[1]!PORTS,0),MATCH(vessel,[1]!PORT_CHARGE_SHIPS,0))/vessel_mmbtu))</f>
        <v/>
      </c>
      <c r="M162" s="120" t="str">
        <f aca="false">IF($G162=0,"",IF(route_choice=1,INDEX([1]!PORT_CHARGES,MATCH(suez,[1]!PORTS,0),MATCH(vessel,[1]!PORT_CHARGE_SHIPS,0)),0)/vessel_mmbtu)</f>
        <v/>
      </c>
      <c r="N162" s="120" t="str">
        <f aca="false">+IF(G162=0,"",+HLOOKUP(vessel,[1]!other_cost,3,0))</f>
        <v/>
      </c>
      <c r="O162" s="121" t="str">
        <f aca="false">+IF(G162=0,"",SUM(H162:N162))</f>
        <v/>
      </c>
      <c r="P162" s="88"/>
      <c r="Q162" s="90"/>
    </row>
    <row r="163" customFormat="false" ht="12.75" hidden="false" customHeight="false" outlineLevel="0" collapsed="false">
      <c r="E163" s="117" t="n">
        <f aca="false">+DATE(YEAR(E162),MONTH(E162)+1,1)</f>
        <v>50587</v>
      </c>
      <c r="F163" s="118" t="e">
        <f aca="false">+VLOOKUP(E163,[1]!curvecalc,3,0)</f>
        <v>#N/A</v>
      </c>
      <c r="G163" s="119" t="n">
        <f aca="false">+IF(AND(startdate&lt;=E163,enddate&gt;=E163),1,0)</f>
        <v>0</v>
      </c>
      <c r="H163" s="120" t="str">
        <f aca="false">+IF($G163=0,"",(+VLOOKUP($E163,[1]!FIXED_CHARTER_COST,HLOOKUP(vessel_choice,[1]!FIXED_CHARTER_COST,2,0)+1,0)*roundtrip_days)/vessel_mmbtu)</f>
        <v/>
      </c>
      <c r="I163" s="120" t="str">
        <f aca="false">+IF($G163=0,"",(+VLOOKUP($E163,[1]!OM_CHARTER_COST,HLOOKUP(vessel_choice,[1]!OM_CHARTER_COST,2,0)+1,0)*roundtrip_days)/vessel_mmbtu)</f>
        <v/>
      </c>
      <c r="J163" s="120" t="str">
        <f aca="false">IF($G163=0,"",(INDEX([1]!bunker_cost,MATCH(route,[1]!bunker_cost_route,0),MATCH(vessel_choice,[1]!bunker_cost_ship,0))/vessel_mmbtu))</f>
        <v/>
      </c>
      <c r="K163" s="120" t="str">
        <f aca="false">IF($G163=0,"",(+INDEX([1]!PORT_CHARGES,MATCH(source,[1]!PORTS,0),MATCH(vessel,[1]!PORT_CHARGE_SHIPS,0))/vessel_mmbtu))</f>
        <v/>
      </c>
      <c r="L163" s="120" t="str">
        <f aca="false">IF($G163=0,"",(+INDEX([1]!PORT_CHARGES,MATCH(destination,[1]!PORTS,0),MATCH(vessel,[1]!PORT_CHARGE_SHIPS,0))/vessel_mmbtu))</f>
        <v/>
      </c>
      <c r="M163" s="120" t="str">
        <f aca="false">IF($G163=0,"",IF(route_choice=1,INDEX([1]!PORT_CHARGES,MATCH(suez,[1]!PORTS,0),MATCH(vessel,[1]!PORT_CHARGE_SHIPS,0)),0)/vessel_mmbtu)</f>
        <v/>
      </c>
      <c r="N163" s="120" t="str">
        <f aca="false">+IF(G163=0,"",+HLOOKUP(vessel,[1]!other_cost,3,0))</f>
        <v/>
      </c>
      <c r="O163" s="121" t="str">
        <f aca="false">+IF(G163=0,"",SUM(H163:N163))</f>
        <v/>
      </c>
      <c r="P163" s="88"/>
      <c r="Q163" s="90"/>
    </row>
    <row r="164" customFormat="false" ht="12.75" hidden="false" customHeight="false" outlineLevel="0" collapsed="false">
      <c r="E164" s="117" t="n">
        <f aca="false">+DATE(YEAR(E163),MONTH(E163)+1,1)</f>
        <v>50618</v>
      </c>
      <c r="F164" s="118" t="e">
        <f aca="false">+VLOOKUP(E164,[1]!curvecalc,3,0)</f>
        <v>#N/A</v>
      </c>
      <c r="G164" s="119" t="n">
        <f aca="false">+IF(AND(startdate&lt;=E164,enddate&gt;=E164),1,0)</f>
        <v>0</v>
      </c>
      <c r="H164" s="120" t="str">
        <f aca="false">+IF($G164=0,"",(+VLOOKUP($E164,[1]!FIXED_CHARTER_COST,HLOOKUP(vessel_choice,[1]!FIXED_CHARTER_COST,2,0)+1,0)*roundtrip_days)/vessel_mmbtu)</f>
        <v/>
      </c>
      <c r="I164" s="120" t="str">
        <f aca="false">+IF($G164=0,"",(+VLOOKUP($E164,[1]!OM_CHARTER_COST,HLOOKUP(vessel_choice,[1]!OM_CHARTER_COST,2,0)+1,0)*roundtrip_days)/vessel_mmbtu)</f>
        <v/>
      </c>
      <c r="J164" s="120" t="str">
        <f aca="false">IF($G164=0,"",(INDEX([1]!bunker_cost,MATCH(route,[1]!bunker_cost_route,0),MATCH(vessel_choice,[1]!bunker_cost_ship,0))/vessel_mmbtu))</f>
        <v/>
      </c>
      <c r="K164" s="120" t="str">
        <f aca="false">IF($G164=0,"",(+INDEX([1]!PORT_CHARGES,MATCH(source,[1]!PORTS,0),MATCH(vessel,[1]!PORT_CHARGE_SHIPS,0))/vessel_mmbtu))</f>
        <v/>
      </c>
      <c r="L164" s="120" t="str">
        <f aca="false">IF($G164=0,"",(+INDEX([1]!PORT_CHARGES,MATCH(destination,[1]!PORTS,0),MATCH(vessel,[1]!PORT_CHARGE_SHIPS,0))/vessel_mmbtu))</f>
        <v/>
      </c>
      <c r="M164" s="120" t="str">
        <f aca="false">IF($G164=0,"",IF(route_choice=1,INDEX([1]!PORT_CHARGES,MATCH(suez,[1]!PORTS,0),MATCH(vessel,[1]!PORT_CHARGE_SHIPS,0)),0)/vessel_mmbtu)</f>
        <v/>
      </c>
      <c r="N164" s="120" t="str">
        <f aca="false">+IF(G164=0,"",+HLOOKUP(vessel,[1]!other_cost,3,0))</f>
        <v/>
      </c>
      <c r="O164" s="121" t="str">
        <f aca="false">+IF(G164=0,"",SUM(H164:N164))</f>
        <v/>
      </c>
      <c r="P164" s="88"/>
      <c r="Q164" s="90"/>
    </row>
    <row r="165" customFormat="false" ht="12.75" hidden="false" customHeight="false" outlineLevel="0" collapsed="false">
      <c r="E165" s="117" t="n">
        <f aca="false">+DATE(YEAR(E164),MONTH(E164)+1,1)</f>
        <v>50649</v>
      </c>
      <c r="F165" s="118" t="e">
        <f aca="false">+VLOOKUP(E165,[1]!curvecalc,3,0)</f>
        <v>#N/A</v>
      </c>
      <c r="G165" s="119" t="n">
        <f aca="false">+IF(AND(startdate&lt;=E165,enddate&gt;=E165),1,0)</f>
        <v>0</v>
      </c>
      <c r="H165" s="120" t="str">
        <f aca="false">+IF($G165=0,"",(+VLOOKUP($E165,[1]!FIXED_CHARTER_COST,HLOOKUP(vessel_choice,[1]!FIXED_CHARTER_COST,2,0)+1,0)*roundtrip_days)/vessel_mmbtu)</f>
        <v/>
      </c>
      <c r="I165" s="120" t="str">
        <f aca="false">+IF($G165=0,"",(+VLOOKUP($E165,[1]!OM_CHARTER_COST,HLOOKUP(vessel_choice,[1]!OM_CHARTER_COST,2,0)+1,0)*roundtrip_days)/vessel_mmbtu)</f>
        <v/>
      </c>
      <c r="J165" s="120" t="str">
        <f aca="false">IF($G165=0,"",(INDEX([1]!bunker_cost,MATCH(route,[1]!bunker_cost_route,0),MATCH(vessel_choice,[1]!bunker_cost_ship,0))/vessel_mmbtu))</f>
        <v/>
      </c>
      <c r="K165" s="120" t="str">
        <f aca="false">IF($G165=0,"",(+INDEX([1]!PORT_CHARGES,MATCH(source,[1]!PORTS,0),MATCH(vessel,[1]!PORT_CHARGE_SHIPS,0))/vessel_mmbtu))</f>
        <v/>
      </c>
      <c r="L165" s="120" t="str">
        <f aca="false">IF($G165=0,"",(+INDEX([1]!PORT_CHARGES,MATCH(destination,[1]!PORTS,0),MATCH(vessel,[1]!PORT_CHARGE_SHIPS,0))/vessel_mmbtu))</f>
        <v/>
      </c>
      <c r="M165" s="120" t="str">
        <f aca="false">IF($G165=0,"",IF(route_choice=1,INDEX([1]!PORT_CHARGES,MATCH(suez,[1]!PORTS,0),MATCH(vessel,[1]!PORT_CHARGE_SHIPS,0)),0)/vessel_mmbtu)</f>
        <v/>
      </c>
      <c r="N165" s="120" t="str">
        <f aca="false">+IF(G165=0,"",+HLOOKUP(vessel,[1]!other_cost,3,0))</f>
        <v/>
      </c>
      <c r="O165" s="121" t="str">
        <f aca="false">+IF(G165=0,"",SUM(H165:N165))</f>
        <v/>
      </c>
      <c r="P165" s="88"/>
      <c r="Q165" s="90"/>
    </row>
    <row r="166" customFormat="false" ht="12.75" hidden="false" customHeight="false" outlineLevel="0" collapsed="false">
      <c r="E166" s="117" t="n">
        <f aca="false">+DATE(YEAR(E165),MONTH(E165)+1,1)</f>
        <v>50679</v>
      </c>
      <c r="F166" s="118" t="e">
        <f aca="false">+VLOOKUP(E166,[1]!curvecalc,3,0)</f>
        <v>#N/A</v>
      </c>
      <c r="G166" s="119" t="n">
        <f aca="false">+IF(AND(startdate&lt;=E166,enddate&gt;=E166),1,0)</f>
        <v>0</v>
      </c>
      <c r="H166" s="120" t="str">
        <f aca="false">+IF($G166=0,"",(+VLOOKUP($E166,[1]!FIXED_CHARTER_COST,HLOOKUP(vessel_choice,[1]!FIXED_CHARTER_COST,2,0)+1,0)*roundtrip_days)/vessel_mmbtu)</f>
        <v/>
      </c>
      <c r="I166" s="120" t="str">
        <f aca="false">+IF($G166=0,"",(+VLOOKUP($E166,[1]!OM_CHARTER_COST,HLOOKUP(vessel_choice,[1]!OM_CHARTER_COST,2,0)+1,0)*roundtrip_days)/vessel_mmbtu)</f>
        <v/>
      </c>
      <c r="J166" s="120" t="str">
        <f aca="false">IF($G166=0,"",(INDEX([1]!bunker_cost,MATCH(route,[1]!bunker_cost_route,0),MATCH(vessel_choice,[1]!bunker_cost_ship,0))/vessel_mmbtu))</f>
        <v/>
      </c>
      <c r="K166" s="120" t="str">
        <f aca="false">IF($G166=0,"",(+INDEX([1]!PORT_CHARGES,MATCH(source,[1]!PORTS,0),MATCH(vessel,[1]!PORT_CHARGE_SHIPS,0))/vessel_mmbtu))</f>
        <v/>
      </c>
      <c r="L166" s="120" t="str">
        <f aca="false">IF($G166=0,"",(+INDEX([1]!PORT_CHARGES,MATCH(destination,[1]!PORTS,0),MATCH(vessel,[1]!PORT_CHARGE_SHIPS,0))/vessel_mmbtu))</f>
        <v/>
      </c>
      <c r="M166" s="120" t="str">
        <f aca="false">IF($G166=0,"",IF(route_choice=1,INDEX([1]!PORT_CHARGES,MATCH(suez,[1]!PORTS,0),MATCH(vessel,[1]!PORT_CHARGE_SHIPS,0)),0)/vessel_mmbtu)</f>
        <v/>
      </c>
      <c r="N166" s="120" t="str">
        <f aca="false">+IF(G166=0,"",+HLOOKUP(vessel,[1]!other_cost,3,0))</f>
        <v/>
      </c>
      <c r="O166" s="121" t="str">
        <f aca="false">+IF(G166=0,"",SUM(H166:N166))</f>
        <v/>
      </c>
      <c r="P166" s="88"/>
      <c r="Q166" s="90"/>
    </row>
    <row r="167" customFormat="false" ht="12.75" hidden="false" customHeight="false" outlineLevel="0" collapsed="false">
      <c r="E167" s="117" t="n">
        <f aca="false">+DATE(YEAR(E166),MONTH(E166)+1,1)</f>
        <v>50710</v>
      </c>
      <c r="F167" s="118" t="e">
        <f aca="false">+VLOOKUP(E167,[1]!curvecalc,3,0)</f>
        <v>#N/A</v>
      </c>
      <c r="G167" s="119" t="n">
        <f aca="false">+IF(AND(startdate&lt;=E167,enddate&gt;=E167),1,0)</f>
        <v>0</v>
      </c>
      <c r="H167" s="120" t="str">
        <f aca="false">+IF($G167=0,"",(+VLOOKUP($E167,[1]!FIXED_CHARTER_COST,HLOOKUP(vessel_choice,[1]!FIXED_CHARTER_COST,2,0)+1,0)*roundtrip_days)/vessel_mmbtu)</f>
        <v/>
      </c>
      <c r="I167" s="120" t="str">
        <f aca="false">+IF($G167=0,"",(+VLOOKUP($E167,[1]!OM_CHARTER_COST,HLOOKUP(vessel_choice,[1]!OM_CHARTER_COST,2,0)+1,0)*roundtrip_days)/vessel_mmbtu)</f>
        <v/>
      </c>
      <c r="J167" s="120" t="str">
        <f aca="false">IF($G167=0,"",(INDEX([1]!bunker_cost,MATCH(route,[1]!bunker_cost_route,0),MATCH(vessel_choice,[1]!bunker_cost_ship,0))/vessel_mmbtu))</f>
        <v/>
      </c>
      <c r="K167" s="120" t="str">
        <f aca="false">IF($G167=0,"",(+INDEX([1]!PORT_CHARGES,MATCH(source,[1]!PORTS,0),MATCH(vessel,[1]!PORT_CHARGE_SHIPS,0))/vessel_mmbtu))</f>
        <v/>
      </c>
      <c r="L167" s="120" t="str">
        <f aca="false">IF($G167=0,"",(+INDEX([1]!PORT_CHARGES,MATCH(destination,[1]!PORTS,0),MATCH(vessel,[1]!PORT_CHARGE_SHIPS,0))/vessel_mmbtu))</f>
        <v/>
      </c>
      <c r="M167" s="120" t="str">
        <f aca="false">IF($G167=0,"",IF(route_choice=1,INDEX([1]!PORT_CHARGES,MATCH(suez,[1]!PORTS,0),MATCH(vessel,[1]!PORT_CHARGE_SHIPS,0)),0)/vessel_mmbtu)</f>
        <v/>
      </c>
      <c r="N167" s="120" t="str">
        <f aca="false">+IF(G167=0,"",+HLOOKUP(vessel,[1]!other_cost,3,0))</f>
        <v/>
      </c>
      <c r="O167" s="121" t="str">
        <f aca="false">+IF(G167=0,"",SUM(H167:N167))</f>
        <v/>
      </c>
      <c r="P167" s="88"/>
      <c r="Q167" s="90"/>
    </row>
    <row r="168" customFormat="false" ht="12.75" hidden="false" customHeight="false" outlineLevel="0" collapsed="false">
      <c r="E168" s="117" t="n">
        <f aca="false">+DATE(YEAR(E167),MONTH(E167)+1,1)</f>
        <v>50740</v>
      </c>
      <c r="F168" s="118" t="e">
        <f aca="false">+VLOOKUP(E168,[1]!curvecalc,3,0)</f>
        <v>#N/A</v>
      </c>
      <c r="G168" s="119" t="n">
        <f aca="false">+IF(AND(startdate&lt;=E168,enddate&gt;=E168),1,0)</f>
        <v>0</v>
      </c>
      <c r="H168" s="120" t="str">
        <f aca="false">+IF($G168=0,"",(+VLOOKUP($E168,[1]!FIXED_CHARTER_COST,HLOOKUP(vessel_choice,[1]!FIXED_CHARTER_COST,2,0)+1,0)*roundtrip_days)/vessel_mmbtu)</f>
        <v/>
      </c>
      <c r="I168" s="120" t="str">
        <f aca="false">+IF($G168=0,"",(+VLOOKUP($E168,[1]!OM_CHARTER_COST,HLOOKUP(vessel_choice,[1]!OM_CHARTER_COST,2,0)+1,0)*roundtrip_days)/vessel_mmbtu)</f>
        <v/>
      </c>
      <c r="J168" s="120" t="str">
        <f aca="false">IF($G168=0,"",(INDEX([1]!bunker_cost,MATCH(route,[1]!bunker_cost_route,0),MATCH(vessel_choice,[1]!bunker_cost_ship,0))/vessel_mmbtu))</f>
        <v/>
      </c>
      <c r="K168" s="120" t="str">
        <f aca="false">IF($G168=0,"",(+INDEX([1]!PORT_CHARGES,MATCH(source,[1]!PORTS,0),MATCH(vessel,[1]!PORT_CHARGE_SHIPS,0))/vessel_mmbtu))</f>
        <v/>
      </c>
      <c r="L168" s="120" t="str">
        <f aca="false">IF($G168=0,"",(+INDEX([1]!PORT_CHARGES,MATCH(destination,[1]!PORTS,0),MATCH(vessel,[1]!PORT_CHARGE_SHIPS,0))/vessel_mmbtu))</f>
        <v/>
      </c>
      <c r="M168" s="120" t="str">
        <f aca="false">IF($G168=0,"",IF(route_choice=1,INDEX([1]!PORT_CHARGES,MATCH(suez,[1]!PORTS,0),MATCH(vessel,[1]!PORT_CHARGE_SHIPS,0)),0)/vessel_mmbtu)</f>
        <v/>
      </c>
      <c r="N168" s="120" t="str">
        <f aca="false">+IF(G168=0,"",+HLOOKUP(vessel,[1]!other_cost,3,0))</f>
        <v/>
      </c>
      <c r="O168" s="121" t="str">
        <f aca="false">+IF(G168=0,"",SUM(H168:N168))</f>
        <v/>
      </c>
      <c r="P168" s="88"/>
      <c r="Q168" s="90"/>
    </row>
    <row r="169" customFormat="false" ht="12.75" hidden="false" customHeight="false" outlineLevel="0" collapsed="false">
      <c r="E169" s="117" t="n">
        <f aca="false">+DATE(YEAR(E168),MONTH(E168)+1,1)</f>
        <v>50771</v>
      </c>
      <c r="F169" s="118" t="e">
        <f aca="false">+VLOOKUP(E169,[1]!curvecalc,3,0)</f>
        <v>#N/A</v>
      </c>
      <c r="G169" s="119" t="n">
        <f aca="false">+IF(AND(startdate&lt;=E169,enddate&gt;=E169),1,0)</f>
        <v>0</v>
      </c>
      <c r="H169" s="120" t="str">
        <f aca="false">+IF($G169=0,"",(+VLOOKUP($E169,[1]!FIXED_CHARTER_COST,HLOOKUP(vessel_choice,[1]!FIXED_CHARTER_COST,2,0)+1,0)*roundtrip_days)/vessel_mmbtu)</f>
        <v/>
      </c>
      <c r="I169" s="120" t="str">
        <f aca="false">+IF($G169=0,"",(+VLOOKUP($E169,[1]!OM_CHARTER_COST,HLOOKUP(vessel_choice,[1]!OM_CHARTER_COST,2,0)+1,0)*roundtrip_days)/vessel_mmbtu)</f>
        <v/>
      </c>
      <c r="J169" s="120" t="str">
        <f aca="false">IF($G169=0,"",(INDEX([1]!bunker_cost,MATCH(route,[1]!bunker_cost_route,0),MATCH(vessel_choice,[1]!bunker_cost_ship,0))/vessel_mmbtu))</f>
        <v/>
      </c>
      <c r="K169" s="120" t="str">
        <f aca="false">IF($G169=0,"",(+INDEX([1]!PORT_CHARGES,MATCH(source,[1]!PORTS,0),MATCH(vessel,[1]!PORT_CHARGE_SHIPS,0))/vessel_mmbtu))</f>
        <v/>
      </c>
      <c r="L169" s="120" t="str">
        <f aca="false">IF($G169=0,"",(+INDEX([1]!PORT_CHARGES,MATCH(destination,[1]!PORTS,0),MATCH(vessel,[1]!PORT_CHARGE_SHIPS,0))/vessel_mmbtu))</f>
        <v/>
      </c>
      <c r="M169" s="120" t="str">
        <f aca="false">IF($G169=0,"",IF(route_choice=1,INDEX([1]!PORT_CHARGES,MATCH(suez,[1]!PORTS,0),MATCH(vessel,[1]!PORT_CHARGE_SHIPS,0)),0)/vessel_mmbtu)</f>
        <v/>
      </c>
      <c r="N169" s="120" t="str">
        <f aca="false">+IF(G169=0,"",+HLOOKUP(vessel,[1]!other_cost,3,0))</f>
        <v/>
      </c>
      <c r="O169" s="121" t="str">
        <f aca="false">+IF(G169=0,"",SUM(H169:N169))</f>
        <v/>
      </c>
      <c r="P169" s="88"/>
      <c r="Q169" s="90"/>
    </row>
    <row r="170" customFormat="false" ht="12.75" hidden="false" customHeight="false" outlineLevel="0" collapsed="false">
      <c r="E170" s="117" t="n">
        <f aca="false">+DATE(YEAR(E169),MONTH(E169)+1,1)</f>
        <v>50802</v>
      </c>
      <c r="F170" s="118" t="e">
        <f aca="false">+VLOOKUP(E170,[1]!curvecalc,3,0)</f>
        <v>#N/A</v>
      </c>
      <c r="G170" s="119" t="n">
        <f aca="false">+IF(AND(startdate&lt;=E170,enddate&gt;=E170),1,0)</f>
        <v>0</v>
      </c>
      <c r="H170" s="120" t="str">
        <f aca="false">+IF($G170=0,"",(+VLOOKUP($E170,[1]!FIXED_CHARTER_COST,HLOOKUP(vessel_choice,[1]!FIXED_CHARTER_COST,2,0)+1,0)*roundtrip_days)/vessel_mmbtu)</f>
        <v/>
      </c>
      <c r="I170" s="120" t="str">
        <f aca="false">+IF($G170=0,"",(+VLOOKUP($E170,[1]!OM_CHARTER_COST,HLOOKUP(vessel_choice,[1]!OM_CHARTER_COST,2,0)+1,0)*roundtrip_days)/vessel_mmbtu)</f>
        <v/>
      </c>
      <c r="J170" s="120" t="str">
        <f aca="false">IF($G170=0,"",(INDEX([1]!bunker_cost,MATCH(route,[1]!bunker_cost_route,0),MATCH(vessel_choice,[1]!bunker_cost_ship,0))/vessel_mmbtu))</f>
        <v/>
      </c>
      <c r="K170" s="120" t="str">
        <f aca="false">IF($G170=0,"",(+INDEX([1]!PORT_CHARGES,MATCH(source,[1]!PORTS,0),MATCH(vessel,[1]!PORT_CHARGE_SHIPS,0))/vessel_mmbtu))</f>
        <v/>
      </c>
      <c r="L170" s="120" t="str">
        <f aca="false">IF($G170=0,"",(+INDEX([1]!PORT_CHARGES,MATCH(destination,[1]!PORTS,0),MATCH(vessel,[1]!PORT_CHARGE_SHIPS,0))/vessel_mmbtu))</f>
        <v/>
      </c>
      <c r="M170" s="120" t="str">
        <f aca="false">IF($G170=0,"",IF(route_choice=1,INDEX([1]!PORT_CHARGES,MATCH(suez,[1]!PORTS,0),MATCH(vessel,[1]!PORT_CHARGE_SHIPS,0)),0)/vessel_mmbtu)</f>
        <v/>
      </c>
      <c r="N170" s="120" t="str">
        <f aca="false">+IF(G170=0,"",+HLOOKUP(vessel,[1]!other_cost,3,0))</f>
        <v/>
      </c>
      <c r="O170" s="121" t="str">
        <f aca="false">+IF(G170=0,"",SUM(H170:N170))</f>
        <v/>
      </c>
      <c r="P170" s="88"/>
      <c r="Q170" s="90"/>
    </row>
    <row r="171" customFormat="false" ht="12.75" hidden="false" customHeight="false" outlineLevel="0" collapsed="false">
      <c r="E171" s="117" t="n">
        <f aca="false">+DATE(YEAR(E170),MONTH(E170)+1,1)</f>
        <v>50830</v>
      </c>
      <c r="F171" s="118" t="e">
        <f aca="false">+VLOOKUP(E171,[1]!curvecalc,3,0)</f>
        <v>#N/A</v>
      </c>
      <c r="G171" s="119" t="n">
        <f aca="false">+IF(AND(startdate&lt;=E171,enddate&gt;=E171),1,0)</f>
        <v>0</v>
      </c>
      <c r="H171" s="120" t="str">
        <f aca="false">+IF($G171=0,"",(+VLOOKUP($E171,[1]!FIXED_CHARTER_COST,HLOOKUP(vessel_choice,[1]!FIXED_CHARTER_COST,2,0)+1,0)*roundtrip_days)/vessel_mmbtu)</f>
        <v/>
      </c>
      <c r="I171" s="120" t="str">
        <f aca="false">+IF($G171=0,"",(+VLOOKUP($E171,[1]!OM_CHARTER_COST,HLOOKUP(vessel_choice,[1]!OM_CHARTER_COST,2,0)+1,0)*roundtrip_days)/vessel_mmbtu)</f>
        <v/>
      </c>
      <c r="J171" s="120" t="str">
        <f aca="false">IF($G171=0,"",(INDEX([1]!bunker_cost,MATCH(route,[1]!bunker_cost_route,0),MATCH(vessel_choice,[1]!bunker_cost_ship,0))/vessel_mmbtu))</f>
        <v/>
      </c>
      <c r="K171" s="120" t="str">
        <f aca="false">IF($G171=0,"",(+INDEX([1]!PORT_CHARGES,MATCH(source,[1]!PORTS,0),MATCH(vessel,[1]!PORT_CHARGE_SHIPS,0))/vessel_mmbtu))</f>
        <v/>
      </c>
      <c r="L171" s="120" t="str">
        <f aca="false">IF($G171=0,"",(+INDEX([1]!PORT_CHARGES,MATCH(destination,[1]!PORTS,0),MATCH(vessel,[1]!PORT_CHARGE_SHIPS,0))/vessel_mmbtu))</f>
        <v/>
      </c>
      <c r="M171" s="120" t="str">
        <f aca="false">IF($G171=0,"",IF(route_choice=1,INDEX([1]!PORT_CHARGES,MATCH(suez,[1]!PORTS,0),MATCH(vessel,[1]!PORT_CHARGE_SHIPS,0)),0)/vessel_mmbtu)</f>
        <v/>
      </c>
      <c r="N171" s="120" t="str">
        <f aca="false">+IF(G171=0,"",+HLOOKUP(vessel,[1]!other_cost,3,0))</f>
        <v/>
      </c>
      <c r="O171" s="121" t="str">
        <f aca="false">+IF(G171=0,"",SUM(H171:N171))</f>
        <v/>
      </c>
      <c r="P171" s="88"/>
      <c r="Q171" s="90"/>
    </row>
    <row r="172" customFormat="false" ht="12.75" hidden="false" customHeight="false" outlineLevel="0" collapsed="false">
      <c r="E172" s="117" t="n">
        <f aca="false">+DATE(YEAR(E171),MONTH(E171)+1,1)</f>
        <v>50861</v>
      </c>
      <c r="F172" s="118" t="e">
        <f aca="false">+VLOOKUP(E172,[1]!curvecalc,3,0)</f>
        <v>#N/A</v>
      </c>
      <c r="G172" s="119" t="n">
        <f aca="false">+IF(AND(startdate&lt;=E172,enddate&gt;=E172),1,0)</f>
        <v>0</v>
      </c>
      <c r="H172" s="120" t="str">
        <f aca="false">+IF($G172=0,"",(+VLOOKUP($E172,[1]!FIXED_CHARTER_COST,HLOOKUP(vessel_choice,[1]!FIXED_CHARTER_COST,2,0)+1,0)*roundtrip_days)/vessel_mmbtu)</f>
        <v/>
      </c>
      <c r="I172" s="120" t="str">
        <f aca="false">+IF($G172=0,"",(+VLOOKUP($E172,[1]!OM_CHARTER_COST,HLOOKUP(vessel_choice,[1]!OM_CHARTER_COST,2,0)+1,0)*roundtrip_days)/vessel_mmbtu)</f>
        <v/>
      </c>
      <c r="J172" s="120" t="str">
        <f aca="false">IF($G172=0,"",(INDEX([1]!bunker_cost,MATCH(route,[1]!bunker_cost_route,0),MATCH(vessel_choice,[1]!bunker_cost_ship,0))/vessel_mmbtu))</f>
        <v/>
      </c>
      <c r="K172" s="120" t="str">
        <f aca="false">IF($G172=0,"",(+INDEX([1]!PORT_CHARGES,MATCH(source,[1]!PORTS,0),MATCH(vessel,[1]!PORT_CHARGE_SHIPS,0))/vessel_mmbtu))</f>
        <v/>
      </c>
      <c r="L172" s="120" t="str">
        <f aca="false">IF($G172=0,"",(+INDEX([1]!PORT_CHARGES,MATCH(destination,[1]!PORTS,0),MATCH(vessel,[1]!PORT_CHARGE_SHIPS,0))/vessel_mmbtu))</f>
        <v/>
      </c>
      <c r="M172" s="120" t="str">
        <f aca="false">IF($G172=0,"",IF(route_choice=1,INDEX([1]!PORT_CHARGES,MATCH(suez,[1]!PORTS,0),MATCH(vessel,[1]!PORT_CHARGE_SHIPS,0)),0)/vessel_mmbtu)</f>
        <v/>
      </c>
      <c r="N172" s="120" t="str">
        <f aca="false">+IF(G172=0,"",+HLOOKUP(vessel,[1]!other_cost,3,0))</f>
        <v/>
      </c>
      <c r="O172" s="121" t="str">
        <f aca="false">+IF(G172=0,"",SUM(H172:N172))</f>
        <v/>
      </c>
      <c r="P172" s="88"/>
      <c r="Q172" s="90"/>
    </row>
    <row r="173" customFormat="false" ht="12.75" hidden="false" customHeight="false" outlineLevel="0" collapsed="false">
      <c r="E173" s="117" t="n">
        <f aca="false">+DATE(YEAR(E172),MONTH(E172)+1,1)</f>
        <v>50891</v>
      </c>
      <c r="F173" s="118" t="e">
        <f aca="false">+VLOOKUP(E173,[1]!curvecalc,3,0)</f>
        <v>#N/A</v>
      </c>
      <c r="G173" s="119" t="n">
        <f aca="false">+IF(AND(startdate&lt;=E173,enddate&gt;=E173),1,0)</f>
        <v>0</v>
      </c>
      <c r="H173" s="120" t="str">
        <f aca="false">+IF($G173=0,"",(+VLOOKUP($E173,[1]!FIXED_CHARTER_COST,HLOOKUP(vessel_choice,[1]!FIXED_CHARTER_COST,2,0)+1,0)*roundtrip_days)/vessel_mmbtu)</f>
        <v/>
      </c>
      <c r="I173" s="120" t="str">
        <f aca="false">+IF($G173=0,"",(+VLOOKUP($E173,[1]!OM_CHARTER_COST,HLOOKUP(vessel_choice,[1]!OM_CHARTER_COST,2,0)+1,0)*roundtrip_days)/vessel_mmbtu)</f>
        <v/>
      </c>
      <c r="J173" s="120" t="str">
        <f aca="false">IF($G173=0,"",(INDEX([1]!bunker_cost,MATCH(route,[1]!bunker_cost_route,0),MATCH(vessel_choice,[1]!bunker_cost_ship,0))/vessel_mmbtu))</f>
        <v/>
      </c>
      <c r="K173" s="120" t="str">
        <f aca="false">IF($G173=0,"",(+INDEX([1]!PORT_CHARGES,MATCH(source,[1]!PORTS,0),MATCH(vessel,[1]!PORT_CHARGE_SHIPS,0))/vessel_mmbtu))</f>
        <v/>
      </c>
      <c r="L173" s="120" t="str">
        <f aca="false">IF($G173=0,"",(+INDEX([1]!PORT_CHARGES,MATCH(destination,[1]!PORTS,0),MATCH(vessel,[1]!PORT_CHARGE_SHIPS,0))/vessel_mmbtu))</f>
        <v/>
      </c>
      <c r="M173" s="120" t="str">
        <f aca="false">IF($G173=0,"",IF(route_choice=1,INDEX([1]!PORT_CHARGES,MATCH(suez,[1]!PORTS,0),MATCH(vessel,[1]!PORT_CHARGE_SHIPS,0)),0)/vessel_mmbtu)</f>
        <v/>
      </c>
      <c r="N173" s="120" t="str">
        <f aca="false">+IF(G173=0,"",+HLOOKUP(vessel,[1]!other_cost,3,0))</f>
        <v/>
      </c>
      <c r="O173" s="121" t="str">
        <f aca="false">+IF(G173=0,"",SUM(H173:N173))</f>
        <v/>
      </c>
      <c r="P173" s="88"/>
      <c r="Q173" s="90"/>
    </row>
    <row r="174" customFormat="false" ht="12.75" hidden="false" customHeight="false" outlineLevel="0" collapsed="false">
      <c r="E174" s="117" t="n">
        <f aca="false">+DATE(YEAR(E173),MONTH(E173)+1,1)</f>
        <v>50922</v>
      </c>
      <c r="F174" s="118" t="e">
        <f aca="false">+VLOOKUP(E174,[1]!curvecalc,3,0)</f>
        <v>#N/A</v>
      </c>
      <c r="G174" s="119" t="n">
        <f aca="false">+IF(AND(startdate&lt;=E174,enddate&gt;=E174),1,0)</f>
        <v>0</v>
      </c>
      <c r="H174" s="120" t="str">
        <f aca="false">+IF($G174=0,"",(+VLOOKUP($E174,[1]!FIXED_CHARTER_COST,HLOOKUP(vessel_choice,[1]!FIXED_CHARTER_COST,2,0)+1,0)*roundtrip_days)/vessel_mmbtu)</f>
        <v/>
      </c>
      <c r="I174" s="120" t="str">
        <f aca="false">+IF($G174=0,"",(+VLOOKUP($E174,[1]!OM_CHARTER_COST,HLOOKUP(vessel_choice,[1]!OM_CHARTER_COST,2,0)+1,0)*roundtrip_days)/vessel_mmbtu)</f>
        <v/>
      </c>
      <c r="J174" s="120" t="str">
        <f aca="false">IF($G174=0,"",(INDEX([1]!bunker_cost,MATCH(route,[1]!bunker_cost_route,0),MATCH(vessel_choice,[1]!bunker_cost_ship,0))/vessel_mmbtu))</f>
        <v/>
      </c>
      <c r="K174" s="120" t="str">
        <f aca="false">IF($G174=0,"",(+INDEX([1]!PORT_CHARGES,MATCH(source,[1]!PORTS,0),MATCH(vessel,[1]!PORT_CHARGE_SHIPS,0))/vessel_mmbtu))</f>
        <v/>
      </c>
      <c r="L174" s="120" t="str">
        <f aca="false">IF($G174=0,"",(+INDEX([1]!PORT_CHARGES,MATCH(destination,[1]!PORTS,0),MATCH(vessel,[1]!PORT_CHARGE_SHIPS,0))/vessel_mmbtu))</f>
        <v/>
      </c>
      <c r="M174" s="120" t="str">
        <f aca="false">IF($G174=0,"",IF(route_choice=1,INDEX([1]!PORT_CHARGES,MATCH(suez,[1]!PORTS,0),MATCH(vessel,[1]!PORT_CHARGE_SHIPS,0)),0)/vessel_mmbtu)</f>
        <v/>
      </c>
      <c r="N174" s="120" t="str">
        <f aca="false">+IF(G174=0,"",+HLOOKUP(vessel,[1]!other_cost,3,0))</f>
        <v/>
      </c>
      <c r="O174" s="121" t="str">
        <f aca="false">+IF(G174=0,"",SUM(H174:N174))</f>
        <v/>
      </c>
      <c r="P174" s="88"/>
      <c r="Q174" s="90"/>
    </row>
    <row r="175" customFormat="false" ht="12.75" hidden="false" customHeight="false" outlineLevel="0" collapsed="false">
      <c r="E175" s="117" t="n">
        <f aca="false">+DATE(YEAR(E174),MONTH(E174)+1,1)</f>
        <v>50952</v>
      </c>
      <c r="F175" s="118" t="e">
        <f aca="false">+VLOOKUP(E175,[1]!curvecalc,3,0)</f>
        <v>#N/A</v>
      </c>
      <c r="G175" s="119" t="n">
        <f aca="false">+IF(AND(startdate&lt;=E175,enddate&gt;=E175),1,0)</f>
        <v>0</v>
      </c>
      <c r="H175" s="120" t="str">
        <f aca="false">+IF($G175=0,"",(+VLOOKUP($E175,[1]!FIXED_CHARTER_COST,HLOOKUP(vessel_choice,[1]!FIXED_CHARTER_COST,2,0)+1,0)*roundtrip_days)/vessel_mmbtu)</f>
        <v/>
      </c>
      <c r="I175" s="120" t="str">
        <f aca="false">+IF($G175=0,"",(+VLOOKUP($E175,[1]!OM_CHARTER_COST,HLOOKUP(vessel_choice,[1]!OM_CHARTER_COST,2,0)+1,0)*roundtrip_days)/vessel_mmbtu)</f>
        <v/>
      </c>
      <c r="J175" s="120" t="str">
        <f aca="false">IF($G175=0,"",(INDEX([1]!bunker_cost,MATCH(route,[1]!bunker_cost_route,0),MATCH(vessel_choice,[1]!bunker_cost_ship,0))/vessel_mmbtu))</f>
        <v/>
      </c>
      <c r="K175" s="120" t="str">
        <f aca="false">IF($G175=0,"",(+INDEX([1]!PORT_CHARGES,MATCH(source,[1]!PORTS,0),MATCH(vessel,[1]!PORT_CHARGE_SHIPS,0))/vessel_mmbtu))</f>
        <v/>
      </c>
      <c r="L175" s="120" t="str">
        <f aca="false">IF($G175=0,"",(+INDEX([1]!PORT_CHARGES,MATCH(destination,[1]!PORTS,0),MATCH(vessel,[1]!PORT_CHARGE_SHIPS,0))/vessel_mmbtu))</f>
        <v/>
      </c>
      <c r="M175" s="120" t="str">
        <f aca="false">IF($G175=0,"",IF(route_choice=1,INDEX([1]!PORT_CHARGES,MATCH(suez,[1]!PORTS,0),MATCH(vessel,[1]!PORT_CHARGE_SHIPS,0)),0)/vessel_mmbtu)</f>
        <v/>
      </c>
      <c r="N175" s="120" t="str">
        <f aca="false">+IF(G175=0,"",+HLOOKUP(vessel,[1]!other_cost,3,0))</f>
        <v/>
      </c>
      <c r="O175" s="121" t="str">
        <f aca="false">+IF(G175=0,"",SUM(H175:N175))</f>
        <v/>
      </c>
      <c r="P175" s="88"/>
      <c r="Q175" s="90"/>
    </row>
    <row r="176" customFormat="false" ht="12.75" hidden="false" customHeight="false" outlineLevel="0" collapsed="false">
      <c r="E176" s="117" t="n">
        <f aca="false">+DATE(YEAR(E175),MONTH(E175)+1,1)</f>
        <v>50983</v>
      </c>
      <c r="F176" s="118" t="e">
        <f aca="false">+VLOOKUP(E176,[1]!curvecalc,3,0)</f>
        <v>#N/A</v>
      </c>
      <c r="G176" s="119" t="n">
        <f aca="false">+IF(AND(startdate&lt;=E176,enddate&gt;=E176),1,0)</f>
        <v>0</v>
      </c>
      <c r="H176" s="120" t="str">
        <f aca="false">+IF($G176=0,"",(+VLOOKUP($E176,[1]!FIXED_CHARTER_COST,HLOOKUP(vessel_choice,[1]!FIXED_CHARTER_COST,2,0)+1,0)*roundtrip_days)/vessel_mmbtu)</f>
        <v/>
      </c>
      <c r="I176" s="120" t="str">
        <f aca="false">+IF($G176=0,"",(+VLOOKUP($E176,[1]!OM_CHARTER_COST,HLOOKUP(vessel_choice,[1]!OM_CHARTER_COST,2,0)+1,0)*roundtrip_days)/vessel_mmbtu)</f>
        <v/>
      </c>
      <c r="J176" s="120" t="str">
        <f aca="false">IF($G176=0,"",(INDEX([1]!bunker_cost,MATCH(route,[1]!bunker_cost_route,0),MATCH(vessel_choice,[1]!bunker_cost_ship,0))/vessel_mmbtu))</f>
        <v/>
      </c>
      <c r="K176" s="120" t="str">
        <f aca="false">IF($G176=0,"",(+INDEX([1]!PORT_CHARGES,MATCH(source,[1]!PORTS,0),MATCH(vessel,[1]!PORT_CHARGE_SHIPS,0))/vessel_mmbtu))</f>
        <v/>
      </c>
      <c r="L176" s="120" t="str">
        <f aca="false">IF($G176=0,"",(+INDEX([1]!PORT_CHARGES,MATCH(destination,[1]!PORTS,0),MATCH(vessel,[1]!PORT_CHARGE_SHIPS,0))/vessel_mmbtu))</f>
        <v/>
      </c>
      <c r="M176" s="120" t="str">
        <f aca="false">IF($G176=0,"",IF(route_choice=1,INDEX([1]!PORT_CHARGES,MATCH(suez,[1]!PORTS,0),MATCH(vessel,[1]!PORT_CHARGE_SHIPS,0)),0)/vessel_mmbtu)</f>
        <v/>
      </c>
      <c r="N176" s="120" t="str">
        <f aca="false">+IF(G176=0,"",+HLOOKUP(vessel,[1]!other_cost,3,0))</f>
        <v/>
      </c>
      <c r="O176" s="121" t="str">
        <f aca="false">+IF(G176=0,"",SUM(H176:N176))</f>
        <v/>
      </c>
      <c r="P176" s="88"/>
      <c r="Q176" s="90"/>
    </row>
    <row r="177" customFormat="false" ht="12.75" hidden="false" customHeight="false" outlineLevel="0" collapsed="false">
      <c r="E177" s="117" t="n">
        <f aca="false">+DATE(YEAR(E176),MONTH(E176)+1,1)</f>
        <v>51014</v>
      </c>
      <c r="F177" s="118" t="e">
        <f aca="false">+VLOOKUP(E177,[1]!curvecalc,3,0)</f>
        <v>#N/A</v>
      </c>
      <c r="G177" s="119" t="n">
        <f aca="false">+IF(AND(startdate&lt;=E177,enddate&gt;=E177),1,0)</f>
        <v>0</v>
      </c>
      <c r="H177" s="120" t="str">
        <f aca="false">+IF($G177=0,"",(+VLOOKUP($E177,[1]!FIXED_CHARTER_COST,HLOOKUP(vessel_choice,[1]!FIXED_CHARTER_COST,2,0)+1,0)*roundtrip_days)/vessel_mmbtu)</f>
        <v/>
      </c>
      <c r="I177" s="120" t="str">
        <f aca="false">+IF($G177=0,"",(+VLOOKUP($E177,[1]!OM_CHARTER_COST,HLOOKUP(vessel_choice,[1]!OM_CHARTER_COST,2,0)+1,0)*roundtrip_days)/vessel_mmbtu)</f>
        <v/>
      </c>
      <c r="J177" s="120" t="str">
        <f aca="false">IF($G177=0,"",(INDEX([1]!bunker_cost,MATCH(route,[1]!bunker_cost_route,0),MATCH(vessel_choice,[1]!bunker_cost_ship,0))/vessel_mmbtu))</f>
        <v/>
      </c>
      <c r="K177" s="120" t="str">
        <f aca="false">IF($G177=0,"",(+INDEX([1]!PORT_CHARGES,MATCH(source,[1]!PORTS,0),MATCH(vessel,[1]!PORT_CHARGE_SHIPS,0))/vessel_mmbtu))</f>
        <v/>
      </c>
      <c r="L177" s="120" t="str">
        <f aca="false">IF($G177=0,"",(+INDEX([1]!PORT_CHARGES,MATCH(destination,[1]!PORTS,0),MATCH(vessel,[1]!PORT_CHARGE_SHIPS,0))/vessel_mmbtu))</f>
        <v/>
      </c>
      <c r="M177" s="120" t="str">
        <f aca="false">IF($G177=0,"",IF(route_choice=1,INDEX([1]!PORT_CHARGES,MATCH(suez,[1]!PORTS,0),MATCH(vessel,[1]!PORT_CHARGE_SHIPS,0)),0)/vessel_mmbtu)</f>
        <v/>
      </c>
      <c r="N177" s="120" t="str">
        <f aca="false">+IF(G177=0,"",+HLOOKUP(vessel,[1]!other_cost,3,0))</f>
        <v/>
      </c>
      <c r="O177" s="121" t="str">
        <f aca="false">+IF(G177=0,"",SUM(H177:N177))</f>
        <v/>
      </c>
      <c r="P177" s="88"/>
      <c r="Q177" s="90"/>
    </row>
    <row r="178" customFormat="false" ht="12.75" hidden="false" customHeight="false" outlineLevel="0" collapsed="false">
      <c r="E178" s="117" t="n">
        <f aca="false">+DATE(YEAR(E177),MONTH(E177)+1,1)</f>
        <v>51044</v>
      </c>
      <c r="F178" s="118" t="e">
        <f aca="false">+VLOOKUP(E178,[1]!curvecalc,3,0)</f>
        <v>#N/A</v>
      </c>
      <c r="G178" s="119" t="n">
        <f aca="false">+IF(AND(startdate&lt;=E178,enddate&gt;=E178),1,0)</f>
        <v>0</v>
      </c>
      <c r="H178" s="120" t="str">
        <f aca="false">+IF($G178=0,"",(+VLOOKUP($E178,[1]!FIXED_CHARTER_COST,HLOOKUP(vessel_choice,[1]!FIXED_CHARTER_COST,2,0)+1,0)*roundtrip_days)/vessel_mmbtu)</f>
        <v/>
      </c>
      <c r="I178" s="120" t="str">
        <f aca="false">+IF($G178=0,"",(+VLOOKUP($E178,[1]!OM_CHARTER_COST,HLOOKUP(vessel_choice,[1]!OM_CHARTER_COST,2,0)+1,0)*roundtrip_days)/vessel_mmbtu)</f>
        <v/>
      </c>
      <c r="J178" s="120" t="str">
        <f aca="false">IF($G178=0,"",(INDEX([1]!bunker_cost,MATCH(route,[1]!bunker_cost_route,0),MATCH(vessel_choice,[1]!bunker_cost_ship,0))/vessel_mmbtu))</f>
        <v/>
      </c>
      <c r="K178" s="120" t="str">
        <f aca="false">IF($G178=0,"",(+INDEX([1]!PORT_CHARGES,MATCH(source,[1]!PORTS,0),MATCH(vessel,[1]!PORT_CHARGE_SHIPS,0))/vessel_mmbtu))</f>
        <v/>
      </c>
      <c r="L178" s="120" t="str">
        <f aca="false">IF($G178=0,"",(+INDEX([1]!PORT_CHARGES,MATCH(destination,[1]!PORTS,0),MATCH(vessel,[1]!PORT_CHARGE_SHIPS,0))/vessel_mmbtu))</f>
        <v/>
      </c>
      <c r="M178" s="120" t="str">
        <f aca="false">IF($G178=0,"",IF(route_choice=1,INDEX([1]!PORT_CHARGES,MATCH(suez,[1]!PORTS,0),MATCH(vessel,[1]!PORT_CHARGE_SHIPS,0)),0)/vessel_mmbtu)</f>
        <v/>
      </c>
      <c r="N178" s="120" t="str">
        <f aca="false">+IF(G178=0,"",+HLOOKUP(vessel,[1]!other_cost,3,0))</f>
        <v/>
      </c>
      <c r="O178" s="121" t="str">
        <f aca="false">+IF(G178=0,"",SUM(H178:N178))</f>
        <v/>
      </c>
      <c r="P178" s="88"/>
      <c r="Q178" s="90"/>
    </row>
    <row r="179" customFormat="false" ht="12.75" hidden="false" customHeight="false" outlineLevel="0" collapsed="false">
      <c r="E179" s="117" t="n">
        <f aca="false">+DATE(YEAR(E178),MONTH(E178)+1,1)</f>
        <v>51075</v>
      </c>
      <c r="F179" s="118" t="e">
        <f aca="false">+VLOOKUP(E179,[1]!curvecalc,3,0)</f>
        <v>#N/A</v>
      </c>
      <c r="G179" s="119" t="n">
        <f aca="false">+IF(AND(startdate&lt;=E179,enddate&gt;=E179),1,0)</f>
        <v>0</v>
      </c>
      <c r="H179" s="120" t="str">
        <f aca="false">+IF($G179=0,"",(+VLOOKUP($E179,[1]!FIXED_CHARTER_COST,HLOOKUP(vessel_choice,[1]!FIXED_CHARTER_COST,2,0)+1,0)*roundtrip_days)/vessel_mmbtu)</f>
        <v/>
      </c>
      <c r="I179" s="120" t="str">
        <f aca="false">+IF($G179=0,"",(+VLOOKUP($E179,[1]!OM_CHARTER_COST,HLOOKUP(vessel_choice,[1]!OM_CHARTER_COST,2,0)+1,0)*roundtrip_days)/vessel_mmbtu)</f>
        <v/>
      </c>
      <c r="J179" s="120" t="str">
        <f aca="false">IF($G179=0,"",(INDEX([1]!bunker_cost,MATCH(route,[1]!bunker_cost_route,0),MATCH(vessel_choice,[1]!bunker_cost_ship,0))/vessel_mmbtu))</f>
        <v/>
      </c>
      <c r="K179" s="120" t="str">
        <f aca="false">IF($G179=0,"",(+INDEX([1]!PORT_CHARGES,MATCH(source,[1]!PORTS,0),MATCH(vessel,[1]!PORT_CHARGE_SHIPS,0))/vessel_mmbtu))</f>
        <v/>
      </c>
      <c r="L179" s="120" t="str">
        <f aca="false">IF($G179=0,"",(+INDEX([1]!PORT_CHARGES,MATCH(destination,[1]!PORTS,0),MATCH(vessel,[1]!PORT_CHARGE_SHIPS,0))/vessel_mmbtu))</f>
        <v/>
      </c>
      <c r="M179" s="120" t="str">
        <f aca="false">IF($G179=0,"",IF(route_choice=1,INDEX([1]!PORT_CHARGES,MATCH(suez,[1]!PORTS,0),MATCH(vessel,[1]!PORT_CHARGE_SHIPS,0)),0)/vessel_mmbtu)</f>
        <v/>
      </c>
      <c r="N179" s="120" t="str">
        <f aca="false">+IF(G179=0,"",+HLOOKUP(vessel,[1]!other_cost,3,0))</f>
        <v/>
      </c>
      <c r="O179" s="121" t="str">
        <f aca="false">+IF(G179=0,"",SUM(H179:N179))</f>
        <v/>
      </c>
      <c r="P179" s="88"/>
      <c r="Q179" s="90"/>
    </row>
    <row r="180" customFormat="false" ht="12.75" hidden="false" customHeight="false" outlineLevel="0" collapsed="false">
      <c r="E180" s="117" t="n">
        <f aca="false">+DATE(YEAR(E179),MONTH(E179)+1,1)</f>
        <v>51105</v>
      </c>
      <c r="F180" s="118" t="e">
        <f aca="false">+VLOOKUP(E180,[1]!curvecalc,3,0)</f>
        <v>#N/A</v>
      </c>
      <c r="G180" s="119" t="n">
        <f aca="false">+IF(AND(startdate&lt;=E180,enddate&gt;=E180),1,0)</f>
        <v>0</v>
      </c>
      <c r="H180" s="120" t="str">
        <f aca="false">+IF($G180=0,"",(+VLOOKUP($E180,[1]!FIXED_CHARTER_COST,HLOOKUP(vessel_choice,[1]!FIXED_CHARTER_COST,2,0)+1,0)*roundtrip_days)/vessel_mmbtu)</f>
        <v/>
      </c>
      <c r="I180" s="120" t="str">
        <f aca="false">+IF($G180=0,"",(+VLOOKUP($E180,[1]!OM_CHARTER_COST,HLOOKUP(vessel_choice,[1]!OM_CHARTER_COST,2,0)+1,0)*roundtrip_days)/vessel_mmbtu)</f>
        <v/>
      </c>
      <c r="J180" s="120" t="str">
        <f aca="false">IF($G180=0,"",(INDEX([1]!bunker_cost,MATCH(route,[1]!bunker_cost_route,0),MATCH(vessel_choice,[1]!bunker_cost_ship,0))/vessel_mmbtu))</f>
        <v/>
      </c>
      <c r="K180" s="120" t="str">
        <f aca="false">IF($G180=0,"",(+INDEX([1]!PORT_CHARGES,MATCH(source,[1]!PORTS,0),MATCH(vessel,[1]!PORT_CHARGE_SHIPS,0))/vessel_mmbtu))</f>
        <v/>
      </c>
      <c r="L180" s="120" t="str">
        <f aca="false">IF($G180=0,"",(+INDEX([1]!PORT_CHARGES,MATCH(destination,[1]!PORTS,0),MATCH(vessel,[1]!PORT_CHARGE_SHIPS,0))/vessel_mmbtu))</f>
        <v/>
      </c>
      <c r="M180" s="120" t="str">
        <f aca="false">IF($G180=0,"",IF(route_choice=1,INDEX([1]!PORT_CHARGES,MATCH(suez,[1]!PORTS,0),MATCH(vessel,[1]!PORT_CHARGE_SHIPS,0)),0)/vessel_mmbtu)</f>
        <v/>
      </c>
      <c r="N180" s="120" t="str">
        <f aca="false">+IF(G180=0,"",+HLOOKUP(vessel,[1]!other_cost,3,0))</f>
        <v/>
      </c>
      <c r="O180" s="121" t="str">
        <f aca="false">+IF(G180=0,"",SUM(H180:N180))</f>
        <v/>
      </c>
      <c r="P180" s="88"/>
      <c r="Q180" s="90"/>
    </row>
    <row r="181" customFormat="false" ht="12.75" hidden="false" customHeight="false" outlineLevel="0" collapsed="false">
      <c r="E181" s="117" t="n">
        <f aca="false">+DATE(YEAR(E180),MONTH(E180)+1,1)</f>
        <v>51136</v>
      </c>
      <c r="F181" s="118" t="e">
        <f aca="false">+VLOOKUP(E181,[1]!curvecalc,3,0)</f>
        <v>#N/A</v>
      </c>
      <c r="G181" s="119" t="n">
        <f aca="false">+IF(AND(startdate&lt;=E181,enddate&gt;=E181),1,0)</f>
        <v>0</v>
      </c>
      <c r="H181" s="120" t="str">
        <f aca="false">+IF($G181=0,"",(+VLOOKUP($E181,[1]!FIXED_CHARTER_COST,HLOOKUP(vessel_choice,[1]!FIXED_CHARTER_COST,2,0)+1,0)*roundtrip_days)/vessel_mmbtu)</f>
        <v/>
      </c>
      <c r="I181" s="120" t="str">
        <f aca="false">+IF($G181=0,"",(+VLOOKUP($E181,[1]!OM_CHARTER_COST,HLOOKUP(vessel_choice,[1]!OM_CHARTER_COST,2,0)+1,0)*roundtrip_days)/vessel_mmbtu)</f>
        <v/>
      </c>
      <c r="J181" s="120" t="str">
        <f aca="false">IF($G181=0,"",(INDEX([1]!bunker_cost,MATCH(route,[1]!bunker_cost_route,0),MATCH(vessel_choice,[1]!bunker_cost_ship,0))/vessel_mmbtu))</f>
        <v/>
      </c>
      <c r="K181" s="120" t="str">
        <f aca="false">IF($G181=0,"",(+INDEX([1]!PORT_CHARGES,MATCH(source,[1]!PORTS,0),MATCH(vessel,[1]!PORT_CHARGE_SHIPS,0))/vessel_mmbtu))</f>
        <v/>
      </c>
      <c r="L181" s="120" t="str">
        <f aca="false">IF($G181=0,"",(+INDEX([1]!PORT_CHARGES,MATCH(destination,[1]!PORTS,0),MATCH(vessel,[1]!PORT_CHARGE_SHIPS,0))/vessel_mmbtu))</f>
        <v/>
      </c>
      <c r="M181" s="120" t="str">
        <f aca="false">IF($G181=0,"",IF(route_choice=1,INDEX([1]!PORT_CHARGES,MATCH(suez,[1]!PORTS,0),MATCH(vessel,[1]!PORT_CHARGE_SHIPS,0)),0)/vessel_mmbtu)</f>
        <v/>
      </c>
      <c r="N181" s="120" t="str">
        <f aca="false">+IF(G181=0,"",+HLOOKUP(vessel,[1]!other_cost,3,0))</f>
        <v/>
      </c>
      <c r="O181" s="121" t="str">
        <f aca="false">+IF(G181=0,"",SUM(H181:N181))</f>
        <v/>
      </c>
      <c r="P181" s="88"/>
      <c r="Q181" s="90"/>
    </row>
    <row r="182" customFormat="false" ht="12.75" hidden="false" customHeight="false" outlineLevel="0" collapsed="false">
      <c r="E182" s="117" t="n">
        <f aca="false">+DATE(YEAR(E181),MONTH(E181)+1,1)</f>
        <v>51167</v>
      </c>
      <c r="F182" s="118" t="e">
        <f aca="false">+VLOOKUP(E182,[1]!curvecalc,3,0)</f>
        <v>#N/A</v>
      </c>
      <c r="G182" s="119" t="n">
        <f aca="false">+IF(AND(startdate&lt;=E182,enddate&gt;=E182),1,0)</f>
        <v>0</v>
      </c>
      <c r="H182" s="120" t="str">
        <f aca="false">+IF($G182=0,"",(+VLOOKUP($E182,[1]!FIXED_CHARTER_COST,HLOOKUP(vessel_choice,[1]!FIXED_CHARTER_COST,2,0)+1,0)*roundtrip_days)/vessel_mmbtu)</f>
        <v/>
      </c>
      <c r="I182" s="120" t="str">
        <f aca="false">+IF($G182=0,"",(+VLOOKUP($E182,[1]!OM_CHARTER_COST,HLOOKUP(vessel_choice,[1]!OM_CHARTER_COST,2,0)+1,0)*roundtrip_days)/vessel_mmbtu)</f>
        <v/>
      </c>
      <c r="J182" s="120" t="str">
        <f aca="false">IF($G182=0,"",(INDEX([1]!bunker_cost,MATCH(route,[1]!bunker_cost_route,0),MATCH(vessel_choice,[1]!bunker_cost_ship,0))/vessel_mmbtu))</f>
        <v/>
      </c>
      <c r="K182" s="120" t="str">
        <f aca="false">IF($G182=0,"",(+INDEX([1]!PORT_CHARGES,MATCH(source,[1]!PORTS,0),MATCH(vessel,[1]!PORT_CHARGE_SHIPS,0))/vessel_mmbtu))</f>
        <v/>
      </c>
      <c r="L182" s="120" t="str">
        <f aca="false">IF($G182=0,"",(+INDEX([1]!PORT_CHARGES,MATCH(destination,[1]!PORTS,0),MATCH(vessel,[1]!PORT_CHARGE_SHIPS,0))/vessel_mmbtu))</f>
        <v/>
      </c>
      <c r="M182" s="120" t="str">
        <f aca="false">IF($G182=0,"",IF(route_choice=1,INDEX([1]!PORT_CHARGES,MATCH(suez,[1]!PORTS,0),MATCH(vessel,[1]!PORT_CHARGE_SHIPS,0)),0)/vessel_mmbtu)</f>
        <v/>
      </c>
      <c r="N182" s="120" t="str">
        <f aca="false">+IF(G182=0,"",+HLOOKUP(vessel,[1]!other_cost,3,0))</f>
        <v/>
      </c>
      <c r="O182" s="121" t="str">
        <f aca="false">+IF(G182=0,"",SUM(H182:N182))</f>
        <v/>
      </c>
      <c r="P182" s="88"/>
      <c r="Q182" s="90"/>
    </row>
    <row r="183" customFormat="false" ht="12.75" hidden="false" customHeight="false" outlineLevel="0" collapsed="false">
      <c r="E183" s="117" t="n">
        <f aca="false">+DATE(YEAR(E182),MONTH(E182)+1,1)</f>
        <v>51196</v>
      </c>
      <c r="F183" s="118" t="e">
        <f aca="false">+VLOOKUP(E183,[1]!curvecalc,3,0)</f>
        <v>#N/A</v>
      </c>
      <c r="G183" s="119" t="n">
        <f aca="false">+IF(AND(startdate&lt;=E183,enddate&gt;=E183),1,0)</f>
        <v>0</v>
      </c>
      <c r="H183" s="120" t="str">
        <f aca="false">+IF($G183=0,"",(+VLOOKUP($E183,[1]!FIXED_CHARTER_COST,HLOOKUP(vessel_choice,[1]!FIXED_CHARTER_COST,2,0)+1,0)*roundtrip_days)/vessel_mmbtu)</f>
        <v/>
      </c>
      <c r="I183" s="120" t="str">
        <f aca="false">+IF($G183=0,"",(+VLOOKUP($E183,[1]!OM_CHARTER_COST,HLOOKUP(vessel_choice,[1]!OM_CHARTER_COST,2,0)+1,0)*roundtrip_days)/vessel_mmbtu)</f>
        <v/>
      </c>
      <c r="J183" s="120" t="str">
        <f aca="false">IF($G183=0,"",(INDEX([1]!bunker_cost,MATCH(route,[1]!bunker_cost_route,0),MATCH(vessel_choice,[1]!bunker_cost_ship,0))/vessel_mmbtu))</f>
        <v/>
      </c>
      <c r="K183" s="120" t="str">
        <f aca="false">IF($G183=0,"",(+INDEX([1]!PORT_CHARGES,MATCH(source,[1]!PORTS,0),MATCH(vessel,[1]!PORT_CHARGE_SHIPS,0))/vessel_mmbtu))</f>
        <v/>
      </c>
      <c r="L183" s="120" t="str">
        <f aca="false">IF($G183=0,"",(+INDEX([1]!PORT_CHARGES,MATCH(destination,[1]!PORTS,0),MATCH(vessel,[1]!PORT_CHARGE_SHIPS,0))/vessel_mmbtu))</f>
        <v/>
      </c>
      <c r="M183" s="120" t="str">
        <f aca="false">IF($G183=0,"",IF(route_choice=1,INDEX([1]!PORT_CHARGES,MATCH(suez,[1]!PORTS,0),MATCH(vessel,[1]!PORT_CHARGE_SHIPS,0)),0)/vessel_mmbtu)</f>
        <v/>
      </c>
      <c r="N183" s="120" t="str">
        <f aca="false">+IF(G183=0,"",+HLOOKUP(vessel,[1]!other_cost,3,0))</f>
        <v/>
      </c>
      <c r="O183" s="121" t="str">
        <f aca="false">+IF(G183=0,"",SUM(H183:N183))</f>
        <v/>
      </c>
      <c r="P183" s="88"/>
      <c r="Q183" s="90"/>
    </row>
    <row r="184" customFormat="false" ht="12.75" hidden="false" customHeight="false" outlineLevel="0" collapsed="false">
      <c r="E184" s="117" t="n">
        <f aca="false">+DATE(YEAR(E183),MONTH(E183)+1,1)</f>
        <v>51227</v>
      </c>
      <c r="F184" s="118" t="e">
        <f aca="false">+VLOOKUP(E184,[1]!curvecalc,3,0)</f>
        <v>#N/A</v>
      </c>
      <c r="G184" s="119" t="n">
        <f aca="false">+IF(AND(startdate&lt;=E184,enddate&gt;=E184),1,0)</f>
        <v>0</v>
      </c>
      <c r="H184" s="120" t="str">
        <f aca="false">+IF($G184=0,"",(+VLOOKUP($E184,[1]!FIXED_CHARTER_COST,HLOOKUP(vessel_choice,[1]!FIXED_CHARTER_COST,2,0)+1,0)*roundtrip_days)/vessel_mmbtu)</f>
        <v/>
      </c>
      <c r="I184" s="120" t="str">
        <f aca="false">+IF($G184=0,"",(+VLOOKUP($E184,[1]!OM_CHARTER_COST,HLOOKUP(vessel_choice,[1]!OM_CHARTER_COST,2,0)+1,0)*roundtrip_days)/vessel_mmbtu)</f>
        <v/>
      </c>
      <c r="J184" s="120" t="str">
        <f aca="false">IF($G184=0,"",(INDEX([1]!bunker_cost,MATCH(route,[1]!bunker_cost_route,0),MATCH(vessel_choice,[1]!bunker_cost_ship,0))/vessel_mmbtu))</f>
        <v/>
      </c>
      <c r="K184" s="120" t="str">
        <f aca="false">IF($G184=0,"",(+INDEX([1]!PORT_CHARGES,MATCH(source,[1]!PORTS,0),MATCH(vessel,[1]!PORT_CHARGE_SHIPS,0))/vessel_mmbtu))</f>
        <v/>
      </c>
      <c r="L184" s="120" t="str">
        <f aca="false">IF($G184=0,"",(+INDEX([1]!PORT_CHARGES,MATCH(destination,[1]!PORTS,0),MATCH(vessel,[1]!PORT_CHARGE_SHIPS,0))/vessel_mmbtu))</f>
        <v/>
      </c>
      <c r="M184" s="120" t="str">
        <f aca="false">IF($G184=0,"",IF(route_choice=1,INDEX([1]!PORT_CHARGES,MATCH(suez,[1]!PORTS,0),MATCH(vessel,[1]!PORT_CHARGE_SHIPS,0)),0)/vessel_mmbtu)</f>
        <v/>
      </c>
      <c r="N184" s="120" t="str">
        <f aca="false">+IF(G184=0,"",+HLOOKUP(vessel,[1]!other_cost,3,0))</f>
        <v/>
      </c>
      <c r="O184" s="121" t="str">
        <f aca="false">+IF(G184=0,"",SUM(H184:N184))</f>
        <v/>
      </c>
      <c r="P184" s="88"/>
      <c r="Q184" s="90"/>
    </row>
    <row r="185" customFormat="false" ht="12.75" hidden="false" customHeight="false" outlineLevel="0" collapsed="false">
      <c r="E185" s="117" t="n">
        <f aca="false">+DATE(YEAR(E184),MONTH(E184)+1,1)</f>
        <v>51257</v>
      </c>
      <c r="F185" s="118" t="e">
        <f aca="false">+VLOOKUP(E185,[1]!curvecalc,3,0)</f>
        <v>#N/A</v>
      </c>
      <c r="G185" s="119" t="n">
        <f aca="false">+IF(AND(startdate&lt;=E185,enddate&gt;=E185),1,0)</f>
        <v>0</v>
      </c>
      <c r="H185" s="120" t="str">
        <f aca="false">+IF($G185=0,"",(+VLOOKUP($E185,[1]!FIXED_CHARTER_COST,HLOOKUP(vessel_choice,[1]!FIXED_CHARTER_COST,2,0)+1,0)*roundtrip_days)/vessel_mmbtu)</f>
        <v/>
      </c>
      <c r="I185" s="120" t="str">
        <f aca="false">+IF($G185=0,"",(+VLOOKUP($E185,[1]!OM_CHARTER_COST,HLOOKUP(vessel_choice,[1]!OM_CHARTER_COST,2,0)+1,0)*roundtrip_days)/vessel_mmbtu)</f>
        <v/>
      </c>
      <c r="J185" s="120" t="str">
        <f aca="false">IF($G185=0,"",(INDEX([1]!bunker_cost,MATCH(route,[1]!bunker_cost_route,0),MATCH(vessel_choice,[1]!bunker_cost_ship,0))/vessel_mmbtu))</f>
        <v/>
      </c>
      <c r="K185" s="120" t="str">
        <f aca="false">IF($G185=0,"",(+INDEX([1]!PORT_CHARGES,MATCH(source,[1]!PORTS,0),MATCH(vessel,[1]!PORT_CHARGE_SHIPS,0))/vessel_mmbtu))</f>
        <v/>
      </c>
      <c r="L185" s="120" t="str">
        <f aca="false">IF($G185=0,"",(+INDEX([1]!PORT_CHARGES,MATCH(destination,[1]!PORTS,0),MATCH(vessel,[1]!PORT_CHARGE_SHIPS,0))/vessel_mmbtu))</f>
        <v/>
      </c>
      <c r="M185" s="120" t="str">
        <f aca="false">IF($G185=0,"",IF(route_choice=1,INDEX([1]!PORT_CHARGES,MATCH(suez,[1]!PORTS,0),MATCH(vessel,[1]!PORT_CHARGE_SHIPS,0)),0)/vessel_mmbtu)</f>
        <v/>
      </c>
      <c r="N185" s="120" t="str">
        <f aca="false">+IF(G185=0,"",+HLOOKUP(vessel,[1]!other_cost,3,0))</f>
        <v/>
      </c>
      <c r="O185" s="121" t="str">
        <f aca="false">+IF(G185=0,"",SUM(H185:N185))</f>
        <v/>
      </c>
      <c r="P185" s="88"/>
      <c r="Q185" s="90"/>
    </row>
    <row r="186" customFormat="false" ht="12.75" hidden="false" customHeight="false" outlineLevel="0" collapsed="false">
      <c r="E186" s="117" t="n">
        <f aca="false">+DATE(YEAR(E185),MONTH(E185)+1,1)</f>
        <v>51288</v>
      </c>
      <c r="F186" s="118" t="e">
        <f aca="false">+VLOOKUP(E186,[1]!curvecalc,3,0)</f>
        <v>#N/A</v>
      </c>
      <c r="G186" s="119" t="n">
        <f aca="false">+IF(AND(startdate&lt;=E186,enddate&gt;=E186),1,0)</f>
        <v>0</v>
      </c>
      <c r="H186" s="120" t="str">
        <f aca="false">+IF($G186=0,"",(+VLOOKUP($E186,[1]!FIXED_CHARTER_COST,HLOOKUP(vessel_choice,[1]!FIXED_CHARTER_COST,2,0)+1,0)*roundtrip_days)/vessel_mmbtu)</f>
        <v/>
      </c>
      <c r="I186" s="120" t="str">
        <f aca="false">+IF($G186=0,"",(+VLOOKUP($E186,[1]!OM_CHARTER_COST,HLOOKUP(vessel_choice,[1]!OM_CHARTER_COST,2,0)+1,0)*roundtrip_days)/vessel_mmbtu)</f>
        <v/>
      </c>
      <c r="J186" s="120" t="str">
        <f aca="false">IF($G186=0,"",(INDEX([1]!bunker_cost,MATCH(route,[1]!bunker_cost_route,0),MATCH(vessel_choice,[1]!bunker_cost_ship,0))/vessel_mmbtu))</f>
        <v/>
      </c>
      <c r="K186" s="120" t="str">
        <f aca="false">IF($G186=0,"",(+INDEX([1]!PORT_CHARGES,MATCH(source,[1]!PORTS,0),MATCH(vessel,[1]!PORT_CHARGE_SHIPS,0))/vessel_mmbtu))</f>
        <v/>
      </c>
      <c r="L186" s="120" t="str">
        <f aca="false">IF($G186=0,"",(+INDEX([1]!PORT_CHARGES,MATCH(destination,[1]!PORTS,0),MATCH(vessel,[1]!PORT_CHARGE_SHIPS,0))/vessel_mmbtu))</f>
        <v/>
      </c>
      <c r="M186" s="120" t="str">
        <f aca="false">IF($G186=0,"",IF(route_choice=1,INDEX([1]!PORT_CHARGES,MATCH(suez,[1]!PORTS,0),MATCH(vessel,[1]!PORT_CHARGE_SHIPS,0)),0)/vessel_mmbtu)</f>
        <v/>
      </c>
      <c r="N186" s="120" t="str">
        <f aca="false">+IF(G186=0,"",+HLOOKUP(vessel,[1]!other_cost,3,0))</f>
        <v/>
      </c>
      <c r="O186" s="121" t="str">
        <f aca="false">+IF(G186=0,"",SUM(H186:N186))</f>
        <v/>
      </c>
      <c r="P186" s="88"/>
      <c r="Q186" s="90"/>
    </row>
    <row r="187" customFormat="false" ht="12.75" hidden="false" customHeight="false" outlineLevel="0" collapsed="false">
      <c r="E187" s="117" t="n">
        <f aca="false">+DATE(YEAR(E186),MONTH(E186)+1,1)</f>
        <v>51318</v>
      </c>
      <c r="F187" s="118" t="e">
        <f aca="false">+VLOOKUP(E187,[1]!curvecalc,3,0)</f>
        <v>#N/A</v>
      </c>
      <c r="G187" s="119" t="n">
        <f aca="false">+IF(AND(startdate&lt;=E187,enddate&gt;=E187),1,0)</f>
        <v>0</v>
      </c>
      <c r="H187" s="120" t="str">
        <f aca="false">+IF($G187=0,"",(+VLOOKUP($E187,[1]!FIXED_CHARTER_COST,HLOOKUP(vessel_choice,[1]!FIXED_CHARTER_COST,2,0)+1,0)*roundtrip_days)/vessel_mmbtu)</f>
        <v/>
      </c>
      <c r="I187" s="120" t="str">
        <f aca="false">+IF($G187=0,"",(+VLOOKUP($E187,[1]!OM_CHARTER_COST,HLOOKUP(vessel_choice,[1]!OM_CHARTER_COST,2,0)+1,0)*roundtrip_days)/vessel_mmbtu)</f>
        <v/>
      </c>
      <c r="J187" s="120" t="str">
        <f aca="false">IF($G187=0,"",(INDEX([1]!bunker_cost,MATCH(route,[1]!bunker_cost_route,0),MATCH(vessel_choice,[1]!bunker_cost_ship,0))/vessel_mmbtu))</f>
        <v/>
      </c>
      <c r="K187" s="120" t="str">
        <f aca="false">IF($G187=0,"",(+INDEX([1]!PORT_CHARGES,MATCH(source,[1]!PORTS,0),MATCH(vessel,[1]!PORT_CHARGE_SHIPS,0))/vessel_mmbtu))</f>
        <v/>
      </c>
      <c r="L187" s="120" t="str">
        <f aca="false">IF($G187=0,"",(+INDEX([1]!PORT_CHARGES,MATCH(destination,[1]!PORTS,0),MATCH(vessel,[1]!PORT_CHARGE_SHIPS,0))/vessel_mmbtu))</f>
        <v/>
      </c>
      <c r="M187" s="120" t="str">
        <f aca="false">IF($G187=0,"",IF(route_choice=1,INDEX([1]!PORT_CHARGES,MATCH(suez,[1]!PORTS,0),MATCH(vessel,[1]!PORT_CHARGE_SHIPS,0)),0)/vessel_mmbtu)</f>
        <v/>
      </c>
      <c r="N187" s="120" t="str">
        <f aca="false">+IF(G187=0,"",+HLOOKUP(vessel,[1]!other_cost,3,0))</f>
        <v/>
      </c>
      <c r="O187" s="121" t="str">
        <f aca="false">+IF(G187=0,"",SUM(H187:N187))</f>
        <v/>
      </c>
      <c r="P187" s="88"/>
      <c r="Q187" s="90"/>
    </row>
    <row r="188" customFormat="false" ht="12.75" hidden="false" customHeight="false" outlineLevel="0" collapsed="false">
      <c r="E188" s="117" t="n">
        <f aca="false">+DATE(YEAR(E187),MONTH(E187)+1,1)</f>
        <v>51349</v>
      </c>
      <c r="F188" s="118" t="e">
        <f aca="false">+VLOOKUP(E188,[1]!curvecalc,3,0)</f>
        <v>#N/A</v>
      </c>
      <c r="G188" s="119" t="n">
        <f aca="false">+IF(AND(startdate&lt;=E188,enddate&gt;=E188),1,0)</f>
        <v>0</v>
      </c>
      <c r="H188" s="120" t="str">
        <f aca="false">+IF($G188=0,"",(+VLOOKUP($E188,[1]!FIXED_CHARTER_COST,HLOOKUP(vessel_choice,[1]!FIXED_CHARTER_COST,2,0)+1,0)*roundtrip_days)/vessel_mmbtu)</f>
        <v/>
      </c>
      <c r="I188" s="120" t="str">
        <f aca="false">+IF($G188=0,"",(+VLOOKUP($E188,[1]!OM_CHARTER_COST,HLOOKUP(vessel_choice,[1]!OM_CHARTER_COST,2,0)+1,0)*roundtrip_days)/vessel_mmbtu)</f>
        <v/>
      </c>
      <c r="J188" s="120" t="str">
        <f aca="false">IF($G188=0,"",(INDEX([1]!bunker_cost,MATCH(route,[1]!bunker_cost_route,0),MATCH(vessel_choice,[1]!bunker_cost_ship,0))/vessel_mmbtu))</f>
        <v/>
      </c>
      <c r="K188" s="120" t="str">
        <f aca="false">IF($G188=0,"",(+INDEX([1]!PORT_CHARGES,MATCH(source,[1]!PORTS,0),MATCH(vessel,[1]!PORT_CHARGE_SHIPS,0))/vessel_mmbtu))</f>
        <v/>
      </c>
      <c r="L188" s="120" t="str">
        <f aca="false">IF($G188=0,"",(+INDEX([1]!PORT_CHARGES,MATCH(destination,[1]!PORTS,0),MATCH(vessel,[1]!PORT_CHARGE_SHIPS,0))/vessel_mmbtu))</f>
        <v/>
      </c>
      <c r="M188" s="120" t="str">
        <f aca="false">IF($G188=0,"",IF(route_choice=1,INDEX([1]!PORT_CHARGES,MATCH(suez,[1]!PORTS,0),MATCH(vessel,[1]!PORT_CHARGE_SHIPS,0)),0)/vessel_mmbtu)</f>
        <v/>
      </c>
      <c r="N188" s="120" t="str">
        <f aca="false">+IF(G188=0,"",+HLOOKUP(vessel,[1]!other_cost,3,0))</f>
        <v/>
      </c>
      <c r="O188" s="121" t="str">
        <f aca="false">+IF(G188=0,"",SUM(H188:N188))</f>
        <v/>
      </c>
      <c r="P188" s="88"/>
      <c r="Q188" s="90"/>
    </row>
    <row r="189" customFormat="false" ht="12.75" hidden="false" customHeight="false" outlineLevel="0" collapsed="false">
      <c r="E189" s="117" t="n">
        <f aca="false">+DATE(YEAR(E188),MONTH(E188)+1,1)</f>
        <v>51380</v>
      </c>
      <c r="F189" s="118" t="e">
        <f aca="false">+VLOOKUP(E189,[1]!curvecalc,3,0)</f>
        <v>#N/A</v>
      </c>
      <c r="G189" s="119" t="n">
        <f aca="false">+IF(AND(startdate&lt;=E189,enddate&gt;=E189),1,0)</f>
        <v>0</v>
      </c>
      <c r="H189" s="120" t="str">
        <f aca="false">+IF($G189=0,"",(+VLOOKUP($E189,[1]!FIXED_CHARTER_COST,HLOOKUP(vessel_choice,[1]!FIXED_CHARTER_COST,2,0)+1,0)*roundtrip_days)/vessel_mmbtu)</f>
        <v/>
      </c>
      <c r="I189" s="120" t="str">
        <f aca="false">+IF($G189=0,"",(+VLOOKUP($E189,[1]!OM_CHARTER_COST,HLOOKUP(vessel_choice,[1]!OM_CHARTER_COST,2,0)+1,0)*roundtrip_days)/vessel_mmbtu)</f>
        <v/>
      </c>
      <c r="J189" s="120" t="str">
        <f aca="false">IF($G189=0,"",(INDEX([1]!bunker_cost,MATCH(route,[1]!bunker_cost_route,0),MATCH(vessel_choice,[1]!bunker_cost_ship,0))/vessel_mmbtu))</f>
        <v/>
      </c>
      <c r="K189" s="120" t="str">
        <f aca="false">IF($G189=0,"",(+INDEX([1]!PORT_CHARGES,MATCH(source,[1]!PORTS,0),MATCH(vessel,[1]!PORT_CHARGE_SHIPS,0))/vessel_mmbtu))</f>
        <v/>
      </c>
      <c r="L189" s="120" t="str">
        <f aca="false">IF($G189=0,"",(+INDEX([1]!PORT_CHARGES,MATCH(destination,[1]!PORTS,0),MATCH(vessel,[1]!PORT_CHARGE_SHIPS,0))/vessel_mmbtu))</f>
        <v/>
      </c>
      <c r="M189" s="120" t="str">
        <f aca="false">IF($G189=0,"",IF(route_choice=1,INDEX([1]!PORT_CHARGES,MATCH(suez,[1]!PORTS,0),MATCH(vessel,[1]!PORT_CHARGE_SHIPS,0)),0)/vessel_mmbtu)</f>
        <v/>
      </c>
      <c r="N189" s="120" t="str">
        <f aca="false">+IF(G189=0,"",+HLOOKUP(vessel,[1]!other_cost,3,0))</f>
        <v/>
      </c>
      <c r="O189" s="121" t="str">
        <f aca="false">+IF(G189=0,"",SUM(H189:N189))</f>
        <v/>
      </c>
      <c r="P189" s="88"/>
      <c r="Q189" s="90"/>
    </row>
    <row r="190" customFormat="false" ht="12.75" hidden="false" customHeight="false" outlineLevel="0" collapsed="false">
      <c r="E190" s="117" t="n">
        <f aca="false">+DATE(YEAR(E189),MONTH(E189)+1,1)</f>
        <v>51410</v>
      </c>
      <c r="F190" s="118" t="e">
        <f aca="false">+VLOOKUP(E190,[1]!curvecalc,3,0)</f>
        <v>#N/A</v>
      </c>
      <c r="G190" s="119" t="n">
        <f aca="false">+IF(AND(startdate&lt;=E190,enddate&gt;=E190),1,0)</f>
        <v>0</v>
      </c>
      <c r="H190" s="120" t="str">
        <f aca="false">+IF($G190=0,"",(+VLOOKUP($E190,[1]!FIXED_CHARTER_COST,HLOOKUP(vessel_choice,[1]!FIXED_CHARTER_COST,2,0)+1,0)*roundtrip_days)/vessel_mmbtu)</f>
        <v/>
      </c>
      <c r="I190" s="120" t="str">
        <f aca="false">+IF($G190=0,"",(+VLOOKUP($E190,[1]!OM_CHARTER_COST,HLOOKUP(vessel_choice,[1]!OM_CHARTER_COST,2,0)+1,0)*roundtrip_days)/vessel_mmbtu)</f>
        <v/>
      </c>
      <c r="J190" s="120" t="str">
        <f aca="false">IF($G190=0,"",(INDEX([1]!bunker_cost,MATCH(route,[1]!bunker_cost_route,0),MATCH(vessel_choice,[1]!bunker_cost_ship,0))/vessel_mmbtu))</f>
        <v/>
      </c>
      <c r="K190" s="120" t="str">
        <f aca="false">IF($G190=0,"",(+INDEX([1]!PORT_CHARGES,MATCH(source,[1]!PORTS,0),MATCH(vessel,[1]!PORT_CHARGE_SHIPS,0))/vessel_mmbtu))</f>
        <v/>
      </c>
      <c r="L190" s="120" t="str">
        <f aca="false">IF($G190=0,"",(+INDEX([1]!PORT_CHARGES,MATCH(destination,[1]!PORTS,0),MATCH(vessel,[1]!PORT_CHARGE_SHIPS,0))/vessel_mmbtu))</f>
        <v/>
      </c>
      <c r="M190" s="120" t="str">
        <f aca="false">IF($G190=0,"",IF(route_choice=1,INDEX([1]!PORT_CHARGES,MATCH(suez,[1]!PORTS,0),MATCH(vessel,[1]!PORT_CHARGE_SHIPS,0)),0)/vessel_mmbtu)</f>
        <v/>
      </c>
      <c r="N190" s="120" t="str">
        <f aca="false">+IF(G190=0,"",+HLOOKUP(vessel,[1]!other_cost,3,0))</f>
        <v/>
      </c>
      <c r="O190" s="121" t="str">
        <f aca="false">+IF(G190=0,"",SUM(H190:N190))</f>
        <v/>
      </c>
      <c r="P190" s="88"/>
      <c r="Q190" s="90"/>
    </row>
    <row r="191" customFormat="false" ht="12.75" hidden="false" customHeight="false" outlineLevel="0" collapsed="false">
      <c r="E191" s="117" t="n">
        <f aca="false">+DATE(YEAR(E190),MONTH(E190)+1,1)</f>
        <v>51441</v>
      </c>
      <c r="F191" s="118" t="e">
        <f aca="false">+VLOOKUP(E191,[1]!curvecalc,3,0)</f>
        <v>#N/A</v>
      </c>
      <c r="G191" s="119" t="n">
        <f aca="false">+IF(AND(startdate&lt;=E191,enddate&gt;=E191),1,0)</f>
        <v>0</v>
      </c>
      <c r="H191" s="120" t="str">
        <f aca="false">+IF($G191=0,"",(+VLOOKUP($E191,[1]!FIXED_CHARTER_COST,HLOOKUP(vessel_choice,[1]!FIXED_CHARTER_COST,2,0)+1,0)*roundtrip_days)/vessel_mmbtu)</f>
        <v/>
      </c>
      <c r="I191" s="120" t="str">
        <f aca="false">+IF($G191=0,"",(+VLOOKUP($E191,[1]!OM_CHARTER_COST,HLOOKUP(vessel_choice,[1]!OM_CHARTER_COST,2,0)+1,0)*roundtrip_days)/vessel_mmbtu)</f>
        <v/>
      </c>
      <c r="J191" s="120" t="str">
        <f aca="false">IF($G191=0,"",(INDEX([1]!bunker_cost,MATCH(route,[1]!bunker_cost_route,0),MATCH(vessel_choice,[1]!bunker_cost_ship,0))/vessel_mmbtu))</f>
        <v/>
      </c>
      <c r="K191" s="120" t="str">
        <f aca="false">IF($G191=0,"",(+INDEX([1]!PORT_CHARGES,MATCH(source,[1]!PORTS,0),MATCH(vessel,[1]!PORT_CHARGE_SHIPS,0))/vessel_mmbtu))</f>
        <v/>
      </c>
      <c r="L191" s="120" t="str">
        <f aca="false">IF($G191=0,"",(+INDEX([1]!PORT_CHARGES,MATCH(destination,[1]!PORTS,0),MATCH(vessel,[1]!PORT_CHARGE_SHIPS,0))/vessel_mmbtu))</f>
        <v/>
      </c>
      <c r="M191" s="120" t="str">
        <f aca="false">IF($G191=0,"",IF(route_choice=1,INDEX([1]!PORT_CHARGES,MATCH(suez,[1]!PORTS,0),MATCH(vessel,[1]!PORT_CHARGE_SHIPS,0)),0)/vessel_mmbtu)</f>
        <v/>
      </c>
      <c r="N191" s="120" t="str">
        <f aca="false">+IF(G191=0,"",+HLOOKUP(vessel,[1]!other_cost,3,0))</f>
        <v/>
      </c>
      <c r="O191" s="121" t="str">
        <f aca="false">+IF(G191=0,"",SUM(H191:N191))</f>
        <v/>
      </c>
      <c r="P191" s="88"/>
      <c r="Q191" s="90"/>
    </row>
    <row r="192" customFormat="false" ht="12.75" hidden="false" customHeight="false" outlineLevel="0" collapsed="false">
      <c r="E192" s="117" t="n">
        <f aca="false">+DATE(YEAR(E191),MONTH(E191)+1,1)</f>
        <v>51471</v>
      </c>
      <c r="F192" s="118" t="e">
        <f aca="false">+VLOOKUP(E192,[1]!curvecalc,3,0)</f>
        <v>#N/A</v>
      </c>
      <c r="G192" s="119" t="n">
        <f aca="false">+IF(AND(startdate&lt;=E192,enddate&gt;=E192),1,0)</f>
        <v>0</v>
      </c>
      <c r="H192" s="120" t="str">
        <f aca="false">+IF($G192=0,"",(+VLOOKUP($E192,[1]!FIXED_CHARTER_COST,HLOOKUP(vessel_choice,[1]!FIXED_CHARTER_COST,2,0)+1,0)*roundtrip_days)/vessel_mmbtu)</f>
        <v/>
      </c>
      <c r="I192" s="120" t="str">
        <f aca="false">+IF($G192=0,"",(+VLOOKUP($E192,[1]!OM_CHARTER_COST,HLOOKUP(vessel_choice,[1]!OM_CHARTER_COST,2,0)+1,0)*roundtrip_days)/vessel_mmbtu)</f>
        <v/>
      </c>
      <c r="J192" s="120" t="str">
        <f aca="false">IF($G192=0,"",(INDEX([1]!bunker_cost,MATCH(route,[1]!bunker_cost_route,0),MATCH(vessel_choice,[1]!bunker_cost_ship,0))/vessel_mmbtu))</f>
        <v/>
      </c>
      <c r="K192" s="120" t="str">
        <f aca="false">IF($G192=0,"",(+INDEX([1]!PORT_CHARGES,MATCH(source,[1]!PORTS,0),MATCH(vessel,[1]!PORT_CHARGE_SHIPS,0))/vessel_mmbtu))</f>
        <v/>
      </c>
      <c r="L192" s="120" t="str">
        <f aca="false">IF($G192=0,"",(+INDEX([1]!PORT_CHARGES,MATCH(destination,[1]!PORTS,0),MATCH(vessel,[1]!PORT_CHARGE_SHIPS,0))/vessel_mmbtu))</f>
        <v/>
      </c>
      <c r="M192" s="120" t="str">
        <f aca="false">IF($G192=0,"",IF(route_choice=1,INDEX([1]!PORT_CHARGES,MATCH(suez,[1]!PORTS,0),MATCH(vessel,[1]!PORT_CHARGE_SHIPS,0)),0)/vessel_mmbtu)</f>
        <v/>
      </c>
      <c r="N192" s="120" t="str">
        <f aca="false">+IF(G192=0,"",+HLOOKUP(vessel,[1]!other_cost,3,0))</f>
        <v/>
      </c>
      <c r="O192" s="121" t="str">
        <f aca="false">+IF(G192=0,"",SUM(H192:N192))</f>
        <v/>
      </c>
      <c r="P192" s="88"/>
      <c r="Q192" s="90"/>
    </row>
    <row r="193" customFormat="false" ht="12.75" hidden="false" customHeight="false" outlineLevel="0" collapsed="false">
      <c r="E193" s="117" t="n">
        <f aca="false">+DATE(YEAR(E192),MONTH(E192)+1,1)</f>
        <v>51502</v>
      </c>
      <c r="F193" s="118" t="e">
        <f aca="false">+VLOOKUP(E193,[1]!curvecalc,3,0)</f>
        <v>#N/A</v>
      </c>
      <c r="G193" s="119" t="n">
        <f aca="false">+IF(AND(startdate&lt;=E193,enddate&gt;=E193),1,0)</f>
        <v>0</v>
      </c>
      <c r="H193" s="120" t="str">
        <f aca="false">+IF($G193=0,"",(+VLOOKUP($E193,[1]!FIXED_CHARTER_COST,HLOOKUP(vessel_choice,[1]!FIXED_CHARTER_COST,2,0)+1,0)*roundtrip_days)/vessel_mmbtu)</f>
        <v/>
      </c>
      <c r="I193" s="120" t="str">
        <f aca="false">+IF($G193=0,"",(+VLOOKUP($E193,[1]!OM_CHARTER_COST,HLOOKUP(vessel_choice,[1]!OM_CHARTER_COST,2,0)+1,0)*roundtrip_days)/vessel_mmbtu)</f>
        <v/>
      </c>
      <c r="J193" s="120" t="str">
        <f aca="false">IF($G193=0,"",(INDEX([1]!bunker_cost,MATCH(route,[1]!bunker_cost_route,0),MATCH(vessel_choice,[1]!bunker_cost_ship,0))/vessel_mmbtu))</f>
        <v/>
      </c>
      <c r="K193" s="120" t="str">
        <f aca="false">IF($G193=0,"",(+INDEX([1]!PORT_CHARGES,MATCH(source,[1]!PORTS,0),MATCH(vessel,[1]!PORT_CHARGE_SHIPS,0))/vessel_mmbtu))</f>
        <v/>
      </c>
      <c r="L193" s="120" t="str">
        <f aca="false">IF($G193=0,"",(+INDEX([1]!PORT_CHARGES,MATCH(destination,[1]!PORTS,0),MATCH(vessel,[1]!PORT_CHARGE_SHIPS,0))/vessel_mmbtu))</f>
        <v/>
      </c>
      <c r="M193" s="120" t="str">
        <f aca="false">IF($G193=0,"",IF(route_choice=1,INDEX([1]!PORT_CHARGES,MATCH(suez,[1]!PORTS,0),MATCH(vessel,[1]!PORT_CHARGE_SHIPS,0)),0)/vessel_mmbtu)</f>
        <v/>
      </c>
      <c r="N193" s="120" t="str">
        <f aca="false">+IF(G193=0,"",+HLOOKUP(vessel,[1]!other_cost,3,0))</f>
        <v/>
      </c>
      <c r="O193" s="121" t="str">
        <f aca="false">+IF(G193=0,"",SUM(H193:N193))</f>
        <v/>
      </c>
      <c r="P193" s="88"/>
      <c r="Q193" s="90"/>
    </row>
    <row r="194" customFormat="false" ht="12.75" hidden="false" customHeight="false" outlineLevel="0" collapsed="false">
      <c r="E194" s="117" t="n">
        <f aca="false">+DATE(YEAR(E193),MONTH(E193)+1,1)</f>
        <v>51533</v>
      </c>
      <c r="F194" s="118" t="e">
        <f aca="false">+VLOOKUP(E194,[1]!curvecalc,3,0)</f>
        <v>#N/A</v>
      </c>
      <c r="G194" s="119" t="n">
        <f aca="false">+IF(AND(startdate&lt;=E194,enddate&gt;=E194),1,0)</f>
        <v>0</v>
      </c>
      <c r="H194" s="120" t="str">
        <f aca="false">+IF($G194=0,"",(+VLOOKUP($E194,[1]!FIXED_CHARTER_COST,HLOOKUP(vessel_choice,[1]!FIXED_CHARTER_COST,2,0)+1,0)*roundtrip_days)/vessel_mmbtu)</f>
        <v/>
      </c>
      <c r="I194" s="120" t="str">
        <f aca="false">+IF($G194=0,"",(+VLOOKUP($E194,[1]!OM_CHARTER_COST,HLOOKUP(vessel_choice,[1]!OM_CHARTER_COST,2,0)+1,0)*roundtrip_days)/vessel_mmbtu)</f>
        <v/>
      </c>
      <c r="J194" s="120" t="str">
        <f aca="false">IF($G194=0,"",(INDEX([1]!bunker_cost,MATCH(route,[1]!bunker_cost_route,0),MATCH(vessel_choice,[1]!bunker_cost_ship,0))/vessel_mmbtu))</f>
        <v/>
      </c>
      <c r="K194" s="120" t="str">
        <f aca="false">IF($G194=0,"",(+INDEX([1]!PORT_CHARGES,MATCH(source,[1]!PORTS,0),MATCH(vessel,[1]!PORT_CHARGE_SHIPS,0))/vessel_mmbtu))</f>
        <v/>
      </c>
      <c r="L194" s="120" t="str">
        <f aca="false">IF($G194=0,"",(+INDEX([1]!PORT_CHARGES,MATCH(destination,[1]!PORTS,0),MATCH(vessel,[1]!PORT_CHARGE_SHIPS,0))/vessel_mmbtu))</f>
        <v/>
      </c>
      <c r="M194" s="120" t="str">
        <f aca="false">IF($G194=0,"",IF(route_choice=1,INDEX([1]!PORT_CHARGES,MATCH(suez,[1]!PORTS,0),MATCH(vessel,[1]!PORT_CHARGE_SHIPS,0)),0)/vessel_mmbtu)</f>
        <v/>
      </c>
      <c r="N194" s="120" t="str">
        <f aca="false">+IF(G194=0,"",+HLOOKUP(vessel,[1]!other_cost,3,0))</f>
        <v/>
      </c>
      <c r="O194" s="121" t="str">
        <f aca="false">+IF(G194=0,"",SUM(H194:N194))</f>
        <v/>
      </c>
      <c r="P194" s="88"/>
      <c r="Q194" s="90"/>
    </row>
    <row r="195" customFormat="false" ht="12.75" hidden="false" customHeight="false" outlineLevel="0" collapsed="false">
      <c r="E195" s="117" t="n">
        <f aca="false">+DATE(YEAR(E194),MONTH(E194)+1,1)</f>
        <v>51561</v>
      </c>
      <c r="F195" s="118" t="e">
        <f aca="false">+VLOOKUP(E195,[1]!curvecalc,3,0)</f>
        <v>#N/A</v>
      </c>
      <c r="G195" s="119" t="n">
        <f aca="false">+IF(AND(startdate&lt;=E195,enddate&gt;=E195),1,0)</f>
        <v>0</v>
      </c>
      <c r="H195" s="120" t="str">
        <f aca="false">+IF($G195=0,"",(+VLOOKUP($E195,[1]!FIXED_CHARTER_COST,HLOOKUP(vessel_choice,[1]!FIXED_CHARTER_COST,2,0)+1,0)*roundtrip_days)/vessel_mmbtu)</f>
        <v/>
      </c>
      <c r="I195" s="120" t="str">
        <f aca="false">+IF($G195=0,"",(+VLOOKUP($E195,[1]!OM_CHARTER_COST,HLOOKUP(vessel_choice,[1]!OM_CHARTER_COST,2,0)+1,0)*roundtrip_days)/vessel_mmbtu)</f>
        <v/>
      </c>
      <c r="J195" s="120" t="str">
        <f aca="false">IF($G195=0,"",(INDEX([1]!bunker_cost,MATCH(route,[1]!bunker_cost_route,0),MATCH(vessel_choice,[1]!bunker_cost_ship,0))/vessel_mmbtu))</f>
        <v/>
      </c>
      <c r="K195" s="120" t="str">
        <f aca="false">IF($G195=0,"",(+INDEX([1]!PORT_CHARGES,MATCH(source,[1]!PORTS,0),MATCH(vessel,[1]!PORT_CHARGE_SHIPS,0))/vessel_mmbtu))</f>
        <v/>
      </c>
      <c r="L195" s="120" t="str">
        <f aca="false">IF($G195=0,"",(+INDEX([1]!PORT_CHARGES,MATCH(destination,[1]!PORTS,0),MATCH(vessel,[1]!PORT_CHARGE_SHIPS,0))/vessel_mmbtu))</f>
        <v/>
      </c>
      <c r="M195" s="120" t="str">
        <f aca="false">IF($G195=0,"",IF(route_choice=1,INDEX([1]!PORT_CHARGES,MATCH(suez,[1]!PORTS,0),MATCH(vessel,[1]!PORT_CHARGE_SHIPS,0)),0)/vessel_mmbtu)</f>
        <v/>
      </c>
      <c r="N195" s="120" t="str">
        <f aca="false">+IF(G195=0,"",+HLOOKUP(vessel,[1]!other_cost,3,0))</f>
        <v/>
      </c>
      <c r="O195" s="121" t="str">
        <f aca="false">+IF(G195=0,"",SUM(H195:N195))</f>
        <v/>
      </c>
      <c r="P195" s="88"/>
      <c r="Q195" s="90"/>
    </row>
    <row r="196" customFormat="false" ht="12.75" hidden="false" customHeight="false" outlineLevel="0" collapsed="false">
      <c r="E196" s="117" t="n">
        <f aca="false">+DATE(YEAR(E195),MONTH(E195)+1,1)</f>
        <v>51592</v>
      </c>
      <c r="F196" s="118" t="e">
        <f aca="false">+VLOOKUP(E196,[1]!curvecalc,3,0)</f>
        <v>#N/A</v>
      </c>
      <c r="G196" s="119" t="n">
        <f aca="false">+IF(AND(startdate&lt;=E196,enddate&gt;=E196),1,0)</f>
        <v>0</v>
      </c>
      <c r="H196" s="120" t="str">
        <f aca="false">+IF($G196=0,"",(+VLOOKUP($E196,[1]!FIXED_CHARTER_COST,HLOOKUP(vessel_choice,[1]!FIXED_CHARTER_COST,2,0)+1,0)*roundtrip_days)/vessel_mmbtu)</f>
        <v/>
      </c>
      <c r="I196" s="120" t="str">
        <f aca="false">+IF($G196=0,"",(+VLOOKUP($E196,[1]!OM_CHARTER_COST,HLOOKUP(vessel_choice,[1]!OM_CHARTER_COST,2,0)+1,0)*roundtrip_days)/vessel_mmbtu)</f>
        <v/>
      </c>
      <c r="J196" s="120" t="str">
        <f aca="false">IF($G196=0,"",(INDEX([1]!bunker_cost,MATCH(route,[1]!bunker_cost_route,0),MATCH(vessel_choice,[1]!bunker_cost_ship,0))/vessel_mmbtu))</f>
        <v/>
      </c>
      <c r="K196" s="120" t="str">
        <f aca="false">IF($G196=0,"",(+INDEX([1]!PORT_CHARGES,MATCH(source,[1]!PORTS,0),MATCH(vessel,[1]!PORT_CHARGE_SHIPS,0))/vessel_mmbtu))</f>
        <v/>
      </c>
      <c r="L196" s="120" t="str">
        <f aca="false">IF($G196=0,"",(+INDEX([1]!PORT_CHARGES,MATCH(destination,[1]!PORTS,0),MATCH(vessel,[1]!PORT_CHARGE_SHIPS,0))/vessel_mmbtu))</f>
        <v/>
      </c>
      <c r="M196" s="120" t="str">
        <f aca="false">IF($G196=0,"",IF(route_choice=1,INDEX([1]!PORT_CHARGES,MATCH(suez,[1]!PORTS,0),MATCH(vessel,[1]!PORT_CHARGE_SHIPS,0)),0)/vessel_mmbtu)</f>
        <v/>
      </c>
      <c r="N196" s="120" t="str">
        <f aca="false">+IF(G196=0,"",+HLOOKUP(vessel,[1]!other_cost,3,0))</f>
        <v/>
      </c>
      <c r="O196" s="121" t="str">
        <f aca="false">+IF(G196=0,"",SUM(H196:N196))</f>
        <v/>
      </c>
      <c r="P196" s="88"/>
      <c r="Q196" s="90"/>
    </row>
    <row r="197" customFormat="false" ht="12.75" hidden="false" customHeight="false" outlineLevel="0" collapsed="false">
      <c r="E197" s="117" t="n">
        <f aca="false">+DATE(YEAR(E196),MONTH(E196)+1,1)</f>
        <v>51622</v>
      </c>
      <c r="F197" s="118" t="e">
        <f aca="false">+VLOOKUP(E197,[1]!curvecalc,3,0)</f>
        <v>#N/A</v>
      </c>
      <c r="G197" s="119" t="n">
        <f aca="false">+IF(AND(startdate&lt;=E197,enddate&gt;=E197),1,0)</f>
        <v>0</v>
      </c>
      <c r="H197" s="120" t="str">
        <f aca="false">+IF($G197=0,"",(+VLOOKUP($E197,[1]!FIXED_CHARTER_COST,HLOOKUP(vessel_choice,[1]!FIXED_CHARTER_COST,2,0)+1,0)*roundtrip_days)/vessel_mmbtu)</f>
        <v/>
      </c>
      <c r="I197" s="120" t="str">
        <f aca="false">+IF($G197=0,"",(+VLOOKUP($E197,[1]!OM_CHARTER_COST,HLOOKUP(vessel_choice,[1]!OM_CHARTER_COST,2,0)+1,0)*roundtrip_days)/vessel_mmbtu)</f>
        <v/>
      </c>
      <c r="J197" s="120" t="str">
        <f aca="false">IF($G197=0,"",(INDEX([1]!bunker_cost,MATCH(route,[1]!bunker_cost_route,0),MATCH(vessel_choice,[1]!bunker_cost_ship,0))/vessel_mmbtu))</f>
        <v/>
      </c>
      <c r="K197" s="120" t="str">
        <f aca="false">IF($G197=0,"",(+INDEX([1]!PORT_CHARGES,MATCH(source,[1]!PORTS,0),MATCH(vessel,[1]!PORT_CHARGE_SHIPS,0))/vessel_mmbtu))</f>
        <v/>
      </c>
      <c r="L197" s="120" t="str">
        <f aca="false">IF($G197=0,"",(+INDEX([1]!PORT_CHARGES,MATCH(destination,[1]!PORTS,0),MATCH(vessel,[1]!PORT_CHARGE_SHIPS,0))/vessel_mmbtu))</f>
        <v/>
      </c>
      <c r="M197" s="120" t="str">
        <f aca="false">IF($G197=0,"",IF(route_choice=1,INDEX([1]!PORT_CHARGES,MATCH(suez,[1]!PORTS,0),MATCH(vessel,[1]!PORT_CHARGE_SHIPS,0)),0)/vessel_mmbtu)</f>
        <v/>
      </c>
      <c r="N197" s="120" t="str">
        <f aca="false">+IF(G197=0,"",+HLOOKUP(vessel,[1]!other_cost,3,0))</f>
        <v/>
      </c>
      <c r="O197" s="121" t="str">
        <f aca="false">+IF(G197=0,"",SUM(H197:N197))</f>
        <v/>
      </c>
      <c r="P197" s="88"/>
      <c r="Q197" s="90"/>
    </row>
    <row r="198" customFormat="false" ht="12.75" hidden="false" customHeight="false" outlineLevel="0" collapsed="false">
      <c r="E198" s="117" t="n">
        <f aca="false">+DATE(YEAR(E197),MONTH(E197)+1,1)</f>
        <v>51653</v>
      </c>
      <c r="F198" s="118" t="e">
        <f aca="false">+VLOOKUP(E198,[1]!curvecalc,3,0)</f>
        <v>#N/A</v>
      </c>
      <c r="G198" s="119" t="n">
        <f aca="false">+IF(AND(startdate&lt;=E198,enddate&gt;=E198),1,0)</f>
        <v>0</v>
      </c>
      <c r="H198" s="120" t="str">
        <f aca="false">+IF($G198=0,"",(+VLOOKUP($E198,[1]!FIXED_CHARTER_COST,HLOOKUP(vessel_choice,[1]!FIXED_CHARTER_COST,2,0)+1,0)*roundtrip_days)/vessel_mmbtu)</f>
        <v/>
      </c>
      <c r="I198" s="120" t="str">
        <f aca="false">+IF($G198=0,"",(+VLOOKUP($E198,[1]!OM_CHARTER_COST,HLOOKUP(vessel_choice,[1]!OM_CHARTER_COST,2,0)+1,0)*roundtrip_days)/vessel_mmbtu)</f>
        <v/>
      </c>
      <c r="J198" s="120" t="str">
        <f aca="false">IF($G198=0,"",(INDEX([1]!bunker_cost,MATCH(route,[1]!bunker_cost_route,0),MATCH(vessel_choice,[1]!bunker_cost_ship,0))/vessel_mmbtu))</f>
        <v/>
      </c>
      <c r="K198" s="120" t="str">
        <f aca="false">IF($G198=0,"",(+INDEX([1]!PORT_CHARGES,MATCH(source,[1]!PORTS,0),MATCH(vessel,[1]!PORT_CHARGE_SHIPS,0))/vessel_mmbtu))</f>
        <v/>
      </c>
      <c r="L198" s="120" t="str">
        <f aca="false">IF($G198=0,"",(+INDEX([1]!PORT_CHARGES,MATCH(destination,[1]!PORTS,0),MATCH(vessel,[1]!PORT_CHARGE_SHIPS,0))/vessel_mmbtu))</f>
        <v/>
      </c>
      <c r="M198" s="120" t="str">
        <f aca="false">IF($G198=0,"",IF(route_choice=1,INDEX([1]!PORT_CHARGES,MATCH(suez,[1]!PORTS,0),MATCH(vessel,[1]!PORT_CHARGE_SHIPS,0)),0)/vessel_mmbtu)</f>
        <v/>
      </c>
      <c r="N198" s="120" t="str">
        <f aca="false">+IF(G198=0,"",+HLOOKUP(vessel,[1]!other_cost,3,0))</f>
        <v/>
      </c>
      <c r="O198" s="121" t="str">
        <f aca="false">+IF(G198=0,"",SUM(H198:N198))</f>
        <v/>
      </c>
      <c r="P198" s="88"/>
      <c r="Q198" s="90"/>
    </row>
    <row r="199" customFormat="false" ht="12.75" hidden="false" customHeight="false" outlineLevel="0" collapsed="false">
      <c r="E199" s="117" t="n">
        <f aca="false">+DATE(YEAR(E198),MONTH(E198)+1,1)</f>
        <v>51683</v>
      </c>
      <c r="F199" s="118" t="e">
        <f aca="false">+VLOOKUP(E199,[1]!curvecalc,3,0)</f>
        <v>#N/A</v>
      </c>
      <c r="G199" s="119" t="n">
        <f aca="false">+IF(AND(startdate&lt;=E199,enddate&gt;=E199),1,0)</f>
        <v>0</v>
      </c>
      <c r="H199" s="120" t="str">
        <f aca="false">+IF($G199=0,"",(+VLOOKUP($E199,[1]!FIXED_CHARTER_COST,HLOOKUP(vessel_choice,[1]!FIXED_CHARTER_COST,2,0)+1,0)*roundtrip_days)/vessel_mmbtu)</f>
        <v/>
      </c>
      <c r="I199" s="120" t="str">
        <f aca="false">+IF($G199=0,"",(+VLOOKUP($E199,[1]!OM_CHARTER_COST,HLOOKUP(vessel_choice,[1]!OM_CHARTER_COST,2,0)+1,0)*roundtrip_days)/vessel_mmbtu)</f>
        <v/>
      </c>
      <c r="J199" s="120" t="str">
        <f aca="false">IF($G199=0,"",(INDEX([1]!bunker_cost,MATCH(route,[1]!bunker_cost_route,0),MATCH(vessel_choice,[1]!bunker_cost_ship,0))/vessel_mmbtu))</f>
        <v/>
      </c>
      <c r="K199" s="120" t="str">
        <f aca="false">IF($G199=0,"",(+INDEX([1]!PORT_CHARGES,MATCH(source,[1]!PORTS,0),MATCH(vessel,[1]!PORT_CHARGE_SHIPS,0))/vessel_mmbtu))</f>
        <v/>
      </c>
      <c r="L199" s="120" t="str">
        <f aca="false">IF($G199=0,"",(+INDEX([1]!PORT_CHARGES,MATCH(destination,[1]!PORTS,0),MATCH(vessel,[1]!PORT_CHARGE_SHIPS,0))/vessel_mmbtu))</f>
        <v/>
      </c>
      <c r="M199" s="120" t="str">
        <f aca="false">IF($G199=0,"",IF(route_choice=1,INDEX([1]!PORT_CHARGES,MATCH(suez,[1]!PORTS,0),MATCH(vessel,[1]!PORT_CHARGE_SHIPS,0)),0)/vessel_mmbtu)</f>
        <v/>
      </c>
      <c r="N199" s="120" t="str">
        <f aca="false">+IF(G199=0,"",+HLOOKUP(vessel,[1]!other_cost,3,0))</f>
        <v/>
      </c>
      <c r="O199" s="121" t="str">
        <f aca="false">+IF(G199=0,"",SUM(H199:N199))</f>
        <v/>
      </c>
      <c r="P199" s="88"/>
      <c r="Q199" s="90"/>
    </row>
    <row r="200" customFormat="false" ht="12.75" hidden="false" customHeight="false" outlineLevel="0" collapsed="false">
      <c r="E200" s="117" t="n">
        <f aca="false">+DATE(YEAR(E199),MONTH(E199)+1,1)</f>
        <v>51714</v>
      </c>
      <c r="F200" s="118" t="e">
        <f aca="false">+VLOOKUP(E200,[1]!curvecalc,3,0)</f>
        <v>#N/A</v>
      </c>
      <c r="G200" s="119" t="n">
        <f aca="false">+IF(AND(startdate&lt;=E200,enddate&gt;=E200),1,0)</f>
        <v>0</v>
      </c>
      <c r="H200" s="120" t="str">
        <f aca="false">+IF($G200=0,"",(+VLOOKUP($E200,[1]!FIXED_CHARTER_COST,HLOOKUP(vessel_choice,[1]!FIXED_CHARTER_COST,2,0)+1,0)*roundtrip_days)/vessel_mmbtu)</f>
        <v/>
      </c>
      <c r="I200" s="120" t="str">
        <f aca="false">+IF($G200=0,"",(+VLOOKUP($E200,[1]!OM_CHARTER_COST,HLOOKUP(vessel_choice,[1]!OM_CHARTER_COST,2,0)+1,0)*roundtrip_days)/vessel_mmbtu)</f>
        <v/>
      </c>
      <c r="J200" s="120" t="str">
        <f aca="false">IF($G200=0,"",(INDEX([1]!bunker_cost,MATCH(route,[1]!bunker_cost_route,0),MATCH(vessel_choice,[1]!bunker_cost_ship,0))/vessel_mmbtu))</f>
        <v/>
      </c>
      <c r="K200" s="120" t="str">
        <f aca="false">IF($G200=0,"",(+INDEX([1]!PORT_CHARGES,MATCH(source,[1]!PORTS,0),MATCH(vessel,[1]!PORT_CHARGE_SHIPS,0))/vessel_mmbtu))</f>
        <v/>
      </c>
      <c r="L200" s="120" t="str">
        <f aca="false">IF($G200=0,"",(+INDEX([1]!PORT_CHARGES,MATCH(destination,[1]!PORTS,0),MATCH(vessel,[1]!PORT_CHARGE_SHIPS,0))/vessel_mmbtu))</f>
        <v/>
      </c>
      <c r="M200" s="120" t="str">
        <f aca="false">IF($G200=0,"",IF(route_choice=1,INDEX([1]!PORT_CHARGES,MATCH(suez,[1]!PORTS,0),MATCH(vessel,[1]!PORT_CHARGE_SHIPS,0)),0)/vessel_mmbtu)</f>
        <v/>
      </c>
      <c r="N200" s="120" t="str">
        <f aca="false">+IF(G200=0,"",+HLOOKUP(vessel,[1]!other_cost,3,0))</f>
        <v/>
      </c>
      <c r="O200" s="121" t="str">
        <f aca="false">+IF(G200=0,"",SUM(H200:N200))</f>
        <v/>
      </c>
      <c r="P200" s="88"/>
      <c r="Q200" s="90"/>
    </row>
    <row r="201" customFormat="false" ht="12.75" hidden="false" customHeight="false" outlineLevel="0" collapsed="false">
      <c r="E201" s="117" t="n">
        <f aca="false">+DATE(YEAR(E200),MONTH(E200)+1,1)</f>
        <v>51745</v>
      </c>
      <c r="F201" s="118" t="e">
        <f aca="false">+VLOOKUP(E201,[1]!curvecalc,3,0)</f>
        <v>#N/A</v>
      </c>
      <c r="G201" s="119" t="n">
        <f aca="false">+IF(AND(startdate&lt;=E201,enddate&gt;=E201),1,0)</f>
        <v>0</v>
      </c>
      <c r="H201" s="120" t="str">
        <f aca="false">+IF($G201=0,"",(+VLOOKUP($E201,[1]!FIXED_CHARTER_COST,HLOOKUP(vessel_choice,[1]!FIXED_CHARTER_COST,2,0)+1,0)*roundtrip_days)/vessel_mmbtu)</f>
        <v/>
      </c>
      <c r="I201" s="120" t="str">
        <f aca="false">+IF($G201=0,"",(+VLOOKUP($E201,[1]!OM_CHARTER_COST,HLOOKUP(vessel_choice,[1]!OM_CHARTER_COST,2,0)+1,0)*roundtrip_days)/vessel_mmbtu)</f>
        <v/>
      </c>
      <c r="J201" s="120" t="str">
        <f aca="false">IF($G201=0,"",(INDEX([1]!bunker_cost,MATCH(route,[1]!bunker_cost_route,0),MATCH(vessel_choice,[1]!bunker_cost_ship,0))/vessel_mmbtu))</f>
        <v/>
      </c>
      <c r="K201" s="120" t="str">
        <f aca="false">IF($G201=0,"",(+INDEX([1]!PORT_CHARGES,MATCH(source,[1]!PORTS,0),MATCH(vessel,[1]!PORT_CHARGE_SHIPS,0))/vessel_mmbtu))</f>
        <v/>
      </c>
      <c r="L201" s="120" t="str">
        <f aca="false">IF($G201=0,"",(+INDEX([1]!PORT_CHARGES,MATCH(destination,[1]!PORTS,0),MATCH(vessel,[1]!PORT_CHARGE_SHIPS,0))/vessel_mmbtu))</f>
        <v/>
      </c>
      <c r="M201" s="120" t="str">
        <f aca="false">IF($G201=0,"",IF(route_choice=1,INDEX([1]!PORT_CHARGES,MATCH(suez,[1]!PORTS,0),MATCH(vessel,[1]!PORT_CHARGE_SHIPS,0)),0)/vessel_mmbtu)</f>
        <v/>
      </c>
      <c r="N201" s="120" t="str">
        <f aca="false">+IF(G201=0,"",+HLOOKUP(vessel,[1]!other_cost,3,0))</f>
        <v/>
      </c>
      <c r="O201" s="121" t="str">
        <f aca="false">+IF(G201=0,"",SUM(H201:N201))</f>
        <v/>
      </c>
      <c r="P201" s="88"/>
      <c r="Q201" s="90"/>
    </row>
    <row r="202" customFormat="false" ht="12.75" hidden="false" customHeight="false" outlineLevel="0" collapsed="false">
      <c r="E202" s="117" t="n">
        <f aca="false">+DATE(YEAR(E201),MONTH(E201)+1,1)</f>
        <v>51775</v>
      </c>
      <c r="F202" s="118" t="e">
        <f aca="false">+VLOOKUP(E202,[1]!curvecalc,3,0)</f>
        <v>#N/A</v>
      </c>
      <c r="G202" s="119" t="n">
        <f aca="false">+IF(AND(startdate&lt;=E202,enddate&gt;=E202),1,0)</f>
        <v>0</v>
      </c>
      <c r="H202" s="120" t="str">
        <f aca="false">+IF($G202=0,"",(+VLOOKUP($E202,[1]!FIXED_CHARTER_COST,HLOOKUP(vessel_choice,[1]!FIXED_CHARTER_COST,2,0)+1,0)*roundtrip_days)/vessel_mmbtu)</f>
        <v/>
      </c>
      <c r="I202" s="120" t="str">
        <f aca="false">+IF($G202=0,"",(+VLOOKUP($E202,[1]!OM_CHARTER_COST,HLOOKUP(vessel_choice,[1]!OM_CHARTER_COST,2,0)+1,0)*roundtrip_days)/vessel_mmbtu)</f>
        <v/>
      </c>
      <c r="J202" s="120" t="str">
        <f aca="false">IF($G202=0,"",(INDEX([1]!bunker_cost,MATCH(route,[1]!bunker_cost_route,0),MATCH(vessel_choice,[1]!bunker_cost_ship,0))/vessel_mmbtu))</f>
        <v/>
      </c>
      <c r="K202" s="120" t="str">
        <f aca="false">IF($G202=0,"",(+INDEX([1]!PORT_CHARGES,MATCH(source,[1]!PORTS,0),MATCH(vessel,[1]!PORT_CHARGE_SHIPS,0))/vessel_mmbtu))</f>
        <v/>
      </c>
      <c r="L202" s="120" t="str">
        <f aca="false">IF($G202=0,"",(+INDEX([1]!PORT_CHARGES,MATCH(destination,[1]!PORTS,0),MATCH(vessel,[1]!PORT_CHARGE_SHIPS,0))/vessel_mmbtu))</f>
        <v/>
      </c>
      <c r="M202" s="120" t="str">
        <f aca="false">IF($G202=0,"",IF(route_choice=1,INDEX([1]!PORT_CHARGES,MATCH(suez,[1]!PORTS,0),MATCH(vessel,[1]!PORT_CHARGE_SHIPS,0)),0)/vessel_mmbtu)</f>
        <v/>
      </c>
      <c r="N202" s="120" t="str">
        <f aca="false">+IF(G202=0,"",+HLOOKUP(vessel,[1]!other_cost,3,0))</f>
        <v/>
      </c>
      <c r="O202" s="121" t="str">
        <f aca="false">+IF(G202=0,"",SUM(H202:N202))</f>
        <v/>
      </c>
      <c r="P202" s="88"/>
      <c r="Q202" s="90"/>
    </row>
    <row r="203" customFormat="false" ht="12.75" hidden="false" customHeight="false" outlineLevel="0" collapsed="false">
      <c r="E203" s="117" t="n">
        <f aca="false">+DATE(YEAR(E202),MONTH(E202)+1,1)</f>
        <v>51806</v>
      </c>
      <c r="F203" s="118" t="e">
        <f aca="false">+VLOOKUP(E203,[1]!curvecalc,3,0)</f>
        <v>#N/A</v>
      </c>
      <c r="G203" s="119" t="n">
        <f aca="false">+IF(AND(startdate&lt;=E203,enddate&gt;=E203),1,0)</f>
        <v>0</v>
      </c>
      <c r="H203" s="120" t="str">
        <f aca="false">+IF($G203=0,"",(+VLOOKUP($E203,[1]!FIXED_CHARTER_COST,HLOOKUP(vessel_choice,[1]!FIXED_CHARTER_COST,2,0)+1,0)*roundtrip_days)/vessel_mmbtu)</f>
        <v/>
      </c>
      <c r="I203" s="120" t="str">
        <f aca="false">+IF($G203=0,"",(+VLOOKUP($E203,[1]!OM_CHARTER_COST,HLOOKUP(vessel_choice,[1]!OM_CHARTER_COST,2,0)+1,0)*roundtrip_days)/vessel_mmbtu)</f>
        <v/>
      </c>
      <c r="J203" s="120" t="str">
        <f aca="false">IF($G203=0,"",(INDEX([1]!bunker_cost,MATCH(route,[1]!bunker_cost_route,0),MATCH(vessel_choice,[1]!bunker_cost_ship,0))/vessel_mmbtu))</f>
        <v/>
      </c>
      <c r="K203" s="120" t="str">
        <f aca="false">IF($G203=0,"",(+INDEX([1]!PORT_CHARGES,MATCH(source,[1]!PORTS,0),MATCH(vessel,[1]!PORT_CHARGE_SHIPS,0))/vessel_mmbtu))</f>
        <v/>
      </c>
      <c r="L203" s="120" t="str">
        <f aca="false">IF($G203=0,"",(+INDEX([1]!PORT_CHARGES,MATCH(destination,[1]!PORTS,0),MATCH(vessel,[1]!PORT_CHARGE_SHIPS,0))/vessel_mmbtu))</f>
        <v/>
      </c>
      <c r="M203" s="120" t="str">
        <f aca="false">IF($G203=0,"",IF(route_choice=1,INDEX([1]!PORT_CHARGES,MATCH(suez,[1]!PORTS,0),MATCH(vessel,[1]!PORT_CHARGE_SHIPS,0)),0)/vessel_mmbtu)</f>
        <v/>
      </c>
      <c r="N203" s="120" t="str">
        <f aca="false">+IF(G203=0,"",+HLOOKUP(vessel,[1]!other_cost,3,0))</f>
        <v/>
      </c>
      <c r="O203" s="121" t="str">
        <f aca="false">+IF(G203=0,"",SUM(H203:N203))</f>
        <v/>
      </c>
      <c r="P203" s="88"/>
      <c r="Q203" s="90"/>
    </row>
    <row r="204" customFormat="false" ht="12.75" hidden="false" customHeight="false" outlineLevel="0" collapsed="false">
      <c r="E204" s="117" t="n">
        <f aca="false">+DATE(YEAR(E203),MONTH(E203)+1,1)</f>
        <v>51836</v>
      </c>
      <c r="F204" s="118" t="e">
        <f aca="false">+VLOOKUP(E204,[1]!curvecalc,3,0)</f>
        <v>#N/A</v>
      </c>
      <c r="G204" s="119" t="n">
        <f aca="false">+IF(AND(startdate&lt;=E204,enddate&gt;=E204),1,0)</f>
        <v>0</v>
      </c>
      <c r="H204" s="120" t="str">
        <f aca="false">+IF($G204=0,"",(+VLOOKUP($E204,[1]!FIXED_CHARTER_COST,HLOOKUP(vessel_choice,[1]!FIXED_CHARTER_COST,2,0)+1,0)*roundtrip_days)/vessel_mmbtu)</f>
        <v/>
      </c>
      <c r="I204" s="120" t="str">
        <f aca="false">+IF($G204=0,"",(+VLOOKUP($E204,[1]!OM_CHARTER_COST,HLOOKUP(vessel_choice,[1]!OM_CHARTER_COST,2,0)+1,0)*roundtrip_days)/vessel_mmbtu)</f>
        <v/>
      </c>
      <c r="J204" s="120" t="str">
        <f aca="false">IF($G204=0,"",(INDEX([1]!bunker_cost,MATCH(route,[1]!bunker_cost_route,0),MATCH(vessel_choice,[1]!bunker_cost_ship,0))/vessel_mmbtu))</f>
        <v/>
      </c>
      <c r="K204" s="120" t="str">
        <f aca="false">IF($G204=0,"",(+INDEX([1]!PORT_CHARGES,MATCH(source,[1]!PORTS,0),MATCH(vessel,[1]!PORT_CHARGE_SHIPS,0))/vessel_mmbtu))</f>
        <v/>
      </c>
      <c r="L204" s="120" t="str">
        <f aca="false">IF($G204=0,"",(+INDEX([1]!PORT_CHARGES,MATCH(destination,[1]!PORTS,0),MATCH(vessel,[1]!PORT_CHARGE_SHIPS,0))/vessel_mmbtu))</f>
        <v/>
      </c>
      <c r="M204" s="120" t="str">
        <f aca="false">IF($G204=0,"",IF(route_choice=1,INDEX([1]!PORT_CHARGES,MATCH(suez,[1]!PORTS,0),MATCH(vessel,[1]!PORT_CHARGE_SHIPS,0)),0)/vessel_mmbtu)</f>
        <v/>
      </c>
      <c r="N204" s="120" t="str">
        <f aca="false">+IF(G204=0,"",+HLOOKUP(vessel,[1]!other_cost,3,0))</f>
        <v/>
      </c>
      <c r="O204" s="121" t="str">
        <f aca="false">+IF(G204=0,"",SUM(H204:N204))</f>
        <v/>
      </c>
      <c r="P204" s="88"/>
      <c r="Q204" s="90"/>
    </row>
    <row r="205" customFormat="false" ht="12.75" hidden="false" customHeight="false" outlineLevel="0" collapsed="false">
      <c r="E205" s="117" t="n">
        <f aca="false">+DATE(YEAR(E204),MONTH(E204)+1,1)</f>
        <v>51867</v>
      </c>
      <c r="F205" s="118" t="e">
        <f aca="false">+VLOOKUP(E205,[1]!curvecalc,3,0)</f>
        <v>#N/A</v>
      </c>
      <c r="G205" s="119" t="n">
        <f aca="false">+IF(AND(startdate&lt;=E205,enddate&gt;=E205),1,0)</f>
        <v>0</v>
      </c>
      <c r="H205" s="120" t="str">
        <f aca="false">+IF($G205=0,"",(+VLOOKUP($E205,[1]!FIXED_CHARTER_COST,HLOOKUP(vessel_choice,[1]!FIXED_CHARTER_COST,2,0)+1,0)*roundtrip_days)/vessel_mmbtu)</f>
        <v/>
      </c>
      <c r="I205" s="120" t="str">
        <f aca="false">+IF($G205=0,"",(+VLOOKUP($E205,[1]!OM_CHARTER_COST,HLOOKUP(vessel_choice,[1]!OM_CHARTER_COST,2,0)+1,0)*roundtrip_days)/vessel_mmbtu)</f>
        <v/>
      </c>
      <c r="J205" s="120" t="str">
        <f aca="false">IF($G205=0,"",(INDEX([1]!bunker_cost,MATCH(route,[1]!bunker_cost_route,0),MATCH(vessel_choice,[1]!bunker_cost_ship,0))/vessel_mmbtu))</f>
        <v/>
      </c>
      <c r="K205" s="120" t="str">
        <f aca="false">IF($G205=0,"",(+INDEX([1]!PORT_CHARGES,MATCH(source,[1]!PORTS,0),MATCH(vessel,[1]!PORT_CHARGE_SHIPS,0))/vessel_mmbtu))</f>
        <v/>
      </c>
      <c r="L205" s="120" t="str">
        <f aca="false">IF($G205=0,"",(+INDEX([1]!PORT_CHARGES,MATCH(destination,[1]!PORTS,0),MATCH(vessel,[1]!PORT_CHARGE_SHIPS,0))/vessel_mmbtu))</f>
        <v/>
      </c>
      <c r="M205" s="120" t="str">
        <f aca="false">IF($G205=0,"",IF(route_choice=1,INDEX([1]!PORT_CHARGES,MATCH(suez,[1]!PORTS,0),MATCH(vessel,[1]!PORT_CHARGE_SHIPS,0)),0)/vessel_mmbtu)</f>
        <v/>
      </c>
      <c r="N205" s="120" t="str">
        <f aca="false">+IF(G205=0,"",+HLOOKUP(vessel,[1]!other_cost,3,0))</f>
        <v/>
      </c>
      <c r="O205" s="121" t="str">
        <f aca="false">+IF(G205=0,"",SUM(H205:N205))</f>
        <v/>
      </c>
      <c r="P205" s="88"/>
      <c r="Q205" s="90"/>
    </row>
    <row r="206" customFormat="false" ht="12.75" hidden="false" customHeight="false" outlineLevel="0" collapsed="false">
      <c r="E206" s="117" t="n">
        <f aca="false">+DATE(YEAR(E205),MONTH(E205)+1,1)</f>
        <v>51898</v>
      </c>
      <c r="F206" s="118" t="e">
        <f aca="false">+VLOOKUP(E206,[1]!curvecalc,3,0)</f>
        <v>#N/A</v>
      </c>
      <c r="G206" s="119" t="n">
        <f aca="false">+IF(AND(startdate&lt;=E206,enddate&gt;=E206),1,0)</f>
        <v>0</v>
      </c>
      <c r="H206" s="120" t="str">
        <f aca="false">+IF($G206=0,"",(+VLOOKUP($E206,[1]!FIXED_CHARTER_COST,HLOOKUP(vessel_choice,[1]!FIXED_CHARTER_COST,2,0)+1,0)*roundtrip_days)/vessel_mmbtu)</f>
        <v/>
      </c>
      <c r="I206" s="120" t="str">
        <f aca="false">+IF($G206=0,"",(+VLOOKUP($E206,[1]!OM_CHARTER_COST,HLOOKUP(vessel_choice,[1]!OM_CHARTER_COST,2,0)+1,0)*roundtrip_days)/vessel_mmbtu)</f>
        <v/>
      </c>
      <c r="J206" s="120" t="str">
        <f aca="false">IF($G206=0,"",(INDEX([1]!bunker_cost,MATCH(route,[1]!bunker_cost_route,0),MATCH(vessel_choice,[1]!bunker_cost_ship,0))/vessel_mmbtu))</f>
        <v/>
      </c>
      <c r="K206" s="120" t="str">
        <f aca="false">IF($G206=0,"",(+INDEX([1]!PORT_CHARGES,MATCH(source,[1]!PORTS,0),MATCH(vessel,[1]!PORT_CHARGE_SHIPS,0))/vessel_mmbtu))</f>
        <v/>
      </c>
      <c r="L206" s="120" t="str">
        <f aca="false">IF($G206=0,"",(+INDEX([1]!PORT_CHARGES,MATCH(destination,[1]!PORTS,0),MATCH(vessel,[1]!PORT_CHARGE_SHIPS,0))/vessel_mmbtu))</f>
        <v/>
      </c>
      <c r="M206" s="120" t="str">
        <f aca="false">IF($G206=0,"",IF(route_choice=1,INDEX([1]!PORT_CHARGES,MATCH(suez,[1]!PORTS,0),MATCH(vessel,[1]!PORT_CHARGE_SHIPS,0)),0)/vessel_mmbtu)</f>
        <v/>
      </c>
      <c r="N206" s="120" t="str">
        <f aca="false">+IF(G206=0,"",+HLOOKUP(vessel,[1]!other_cost,3,0))</f>
        <v/>
      </c>
      <c r="O206" s="121" t="str">
        <f aca="false">+IF(G206=0,"",SUM(H206:N206))</f>
        <v/>
      </c>
      <c r="P206" s="88"/>
      <c r="Q206" s="90"/>
    </row>
    <row r="207" customFormat="false" ht="12.75" hidden="false" customHeight="false" outlineLevel="0" collapsed="false">
      <c r="E207" s="117" t="n">
        <f aca="false">+DATE(YEAR(E206),MONTH(E206)+1,1)</f>
        <v>51926</v>
      </c>
      <c r="F207" s="118" t="e">
        <f aca="false">+VLOOKUP(E207,[1]!curvecalc,3,0)</f>
        <v>#N/A</v>
      </c>
      <c r="G207" s="119" t="n">
        <f aca="false">+IF(AND(startdate&lt;=E207,enddate&gt;=E207),1,0)</f>
        <v>0</v>
      </c>
      <c r="H207" s="120" t="str">
        <f aca="false">+IF($G207=0,"",(+VLOOKUP($E207,[1]!FIXED_CHARTER_COST,HLOOKUP(vessel_choice,[1]!FIXED_CHARTER_COST,2,0)+1,0)*roundtrip_days)/vessel_mmbtu)</f>
        <v/>
      </c>
      <c r="I207" s="120" t="str">
        <f aca="false">+IF($G207=0,"",(+VLOOKUP($E207,[1]!OM_CHARTER_COST,HLOOKUP(vessel_choice,[1]!OM_CHARTER_COST,2,0)+1,0)*roundtrip_days)/vessel_mmbtu)</f>
        <v/>
      </c>
      <c r="J207" s="120" t="str">
        <f aca="false">IF($G207=0,"",(INDEX([1]!bunker_cost,MATCH(route,[1]!bunker_cost_route,0),MATCH(vessel_choice,[1]!bunker_cost_ship,0))/vessel_mmbtu))</f>
        <v/>
      </c>
      <c r="K207" s="120" t="str">
        <f aca="false">IF($G207=0,"",(+INDEX([1]!PORT_CHARGES,MATCH(source,[1]!PORTS,0),MATCH(vessel,[1]!PORT_CHARGE_SHIPS,0))/vessel_mmbtu))</f>
        <v/>
      </c>
      <c r="L207" s="120" t="str">
        <f aca="false">IF($G207=0,"",(+INDEX([1]!PORT_CHARGES,MATCH(destination,[1]!PORTS,0),MATCH(vessel,[1]!PORT_CHARGE_SHIPS,0))/vessel_mmbtu))</f>
        <v/>
      </c>
      <c r="M207" s="120" t="str">
        <f aca="false">IF($G207=0,"",IF(route_choice=1,INDEX([1]!PORT_CHARGES,MATCH(suez,[1]!PORTS,0),MATCH(vessel,[1]!PORT_CHARGE_SHIPS,0)),0)/vessel_mmbtu)</f>
        <v/>
      </c>
      <c r="N207" s="120" t="str">
        <f aca="false">+IF(G207=0,"",+HLOOKUP(vessel,[1]!other_cost,3,0))</f>
        <v/>
      </c>
      <c r="O207" s="121" t="str">
        <f aca="false">+IF(G207=0,"",SUM(H207:N207))</f>
        <v/>
      </c>
      <c r="P207" s="88"/>
      <c r="Q207" s="90"/>
    </row>
    <row r="208" customFormat="false" ht="12.75" hidden="false" customHeight="false" outlineLevel="0" collapsed="false">
      <c r="E208" s="117" t="n">
        <f aca="false">+DATE(YEAR(E207),MONTH(E207)+1,1)</f>
        <v>51957</v>
      </c>
      <c r="F208" s="118" t="e">
        <f aca="false">+VLOOKUP(E208,[1]!curvecalc,3,0)</f>
        <v>#N/A</v>
      </c>
      <c r="G208" s="119" t="n">
        <f aca="false">+IF(AND(startdate&lt;=E208,enddate&gt;=E208),1,0)</f>
        <v>0</v>
      </c>
      <c r="H208" s="120" t="str">
        <f aca="false">+IF($G208=0,"",(+VLOOKUP($E208,[1]!FIXED_CHARTER_COST,HLOOKUP(vessel_choice,[1]!FIXED_CHARTER_COST,2,0)+1,0)*roundtrip_days)/vessel_mmbtu)</f>
        <v/>
      </c>
      <c r="I208" s="120" t="str">
        <f aca="false">+IF($G208=0,"",(+VLOOKUP($E208,[1]!OM_CHARTER_COST,HLOOKUP(vessel_choice,[1]!OM_CHARTER_COST,2,0)+1,0)*roundtrip_days)/vessel_mmbtu)</f>
        <v/>
      </c>
      <c r="J208" s="120" t="str">
        <f aca="false">IF($G208=0,"",(INDEX([1]!bunker_cost,MATCH(route,[1]!bunker_cost_route,0),MATCH(vessel_choice,[1]!bunker_cost_ship,0))/vessel_mmbtu))</f>
        <v/>
      </c>
      <c r="K208" s="120" t="str">
        <f aca="false">IF($G208=0,"",(+INDEX([1]!PORT_CHARGES,MATCH(source,[1]!PORTS,0),MATCH(vessel,[1]!PORT_CHARGE_SHIPS,0))/vessel_mmbtu))</f>
        <v/>
      </c>
      <c r="L208" s="120" t="str">
        <f aca="false">IF($G208=0,"",(+INDEX([1]!PORT_CHARGES,MATCH(destination,[1]!PORTS,0),MATCH(vessel,[1]!PORT_CHARGE_SHIPS,0))/vessel_mmbtu))</f>
        <v/>
      </c>
      <c r="M208" s="120" t="str">
        <f aca="false">IF($G208=0,"",IF(route_choice=1,INDEX([1]!PORT_CHARGES,MATCH(suez,[1]!PORTS,0),MATCH(vessel,[1]!PORT_CHARGE_SHIPS,0)),0)/vessel_mmbtu)</f>
        <v/>
      </c>
      <c r="N208" s="120" t="str">
        <f aca="false">+IF(G208=0,"",+HLOOKUP(vessel,[1]!other_cost,3,0))</f>
        <v/>
      </c>
      <c r="O208" s="121" t="str">
        <f aca="false">+IF(G208=0,"",SUM(H208:N208))</f>
        <v/>
      </c>
      <c r="P208" s="88"/>
      <c r="Q208" s="90"/>
    </row>
    <row r="209" customFormat="false" ht="12.75" hidden="false" customHeight="false" outlineLevel="0" collapsed="false">
      <c r="E209" s="117" t="n">
        <f aca="false">+DATE(YEAR(E208),MONTH(E208)+1,1)</f>
        <v>51987</v>
      </c>
      <c r="F209" s="118" t="e">
        <f aca="false">+VLOOKUP(E209,[1]!curvecalc,3,0)</f>
        <v>#N/A</v>
      </c>
      <c r="G209" s="119" t="n">
        <f aca="false">+IF(AND(startdate&lt;=E209,enddate&gt;=E209),1,0)</f>
        <v>0</v>
      </c>
      <c r="H209" s="120" t="str">
        <f aca="false">+IF($G209=0,"",(+VLOOKUP($E209,[1]!FIXED_CHARTER_COST,HLOOKUP(vessel_choice,[1]!FIXED_CHARTER_COST,2,0)+1,0)*roundtrip_days)/vessel_mmbtu)</f>
        <v/>
      </c>
      <c r="I209" s="120" t="str">
        <f aca="false">+IF($G209=0,"",(+VLOOKUP($E209,[1]!OM_CHARTER_COST,HLOOKUP(vessel_choice,[1]!OM_CHARTER_COST,2,0)+1,0)*roundtrip_days)/vessel_mmbtu)</f>
        <v/>
      </c>
      <c r="J209" s="120" t="str">
        <f aca="false">IF($G209=0,"",(INDEX([1]!bunker_cost,MATCH(route,[1]!bunker_cost_route,0),MATCH(vessel_choice,[1]!bunker_cost_ship,0))/vessel_mmbtu))</f>
        <v/>
      </c>
      <c r="K209" s="120" t="str">
        <f aca="false">IF($G209=0,"",(+INDEX([1]!PORT_CHARGES,MATCH(source,[1]!PORTS,0),MATCH(vessel,[1]!PORT_CHARGE_SHIPS,0))/vessel_mmbtu))</f>
        <v/>
      </c>
      <c r="L209" s="120" t="str">
        <f aca="false">IF($G209=0,"",(+INDEX([1]!PORT_CHARGES,MATCH(destination,[1]!PORTS,0),MATCH(vessel,[1]!PORT_CHARGE_SHIPS,0))/vessel_mmbtu))</f>
        <v/>
      </c>
      <c r="M209" s="120" t="str">
        <f aca="false">IF($G209=0,"",IF(route_choice=1,INDEX([1]!PORT_CHARGES,MATCH(suez,[1]!PORTS,0),MATCH(vessel,[1]!PORT_CHARGE_SHIPS,0)),0)/vessel_mmbtu)</f>
        <v/>
      </c>
      <c r="N209" s="120" t="str">
        <f aca="false">+IF(G209=0,"",+HLOOKUP(vessel,[1]!other_cost,3,0))</f>
        <v/>
      </c>
      <c r="O209" s="121" t="str">
        <f aca="false">+IF(G209=0,"",SUM(H209:N209))</f>
        <v/>
      </c>
      <c r="P209" s="88"/>
      <c r="Q209" s="90"/>
    </row>
    <row r="210" customFormat="false" ht="12.75" hidden="false" customHeight="false" outlineLevel="0" collapsed="false">
      <c r="E210" s="117" t="n">
        <f aca="false">+DATE(YEAR(E209),MONTH(E209)+1,1)</f>
        <v>52018</v>
      </c>
      <c r="F210" s="118" t="e">
        <f aca="false">+VLOOKUP(E210,[1]!curvecalc,3,0)</f>
        <v>#N/A</v>
      </c>
      <c r="G210" s="119" t="n">
        <f aca="false">+IF(AND(startdate&lt;=E210,enddate&gt;=E210),1,0)</f>
        <v>0</v>
      </c>
      <c r="H210" s="120" t="str">
        <f aca="false">+IF($G210=0,"",(+VLOOKUP($E210,[1]!FIXED_CHARTER_COST,HLOOKUP(vessel_choice,[1]!FIXED_CHARTER_COST,2,0)+1,0)*roundtrip_days)/vessel_mmbtu)</f>
        <v/>
      </c>
      <c r="I210" s="120" t="str">
        <f aca="false">+IF($G210=0,"",(+VLOOKUP($E210,[1]!OM_CHARTER_COST,HLOOKUP(vessel_choice,[1]!OM_CHARTER_COST,2,0)+1,0)*roundtrip_days)/vessel_mmbtu)</f>
        <v/>
      </c>
      <c r="J210" s="120" t="str">
        <f aca="false">IF($G210=0,"",(INDEX([1]!bunker_cost,MATCH(route,[1]!bunker_cost_route,0),MATCH(vessel_choice,[1]!bunker_cost_ship,0))/vessel_mmbtu))</f>
        <v/>
      </c>
      <c r="K210" s="120" t="str">
        <f aca="false">IF($G210=0,"",(+INDEX([1]!PORT_CHARGES,MATCH(source,[1]!PORTS,0),MATCH(vessel,[1]!PORT_CHARGE_SHIPS,0))/vessel_mmbtu))</f>
        <v/>
      </c>
      <c r="L210" s="120" t="str">
        <f aca="false">IF($G210=0,"",(+INDEX([1]!PORT_CHARGES,MATCH(destination,[1]!PORTS,0),MATCH(vessel,[1]!PORT_CHARGE_SHIPS,0))/vessel_mmbtu))</f>
        <v/>
      </c>
      <c r="M210" s="120" t="str">
        <f aca="false">IF($G210=0,"",IF(route_choice=1,INDEX([1]!PORT_CHARGES,MATCH(suez,[1]!PORTS,0),MATCH(vessel,[1]!PORT_CHARGE_SHIPS,0)),0)/vessel_mmbtu)</f>
        <v/>
      </c>
      <c r="N210" s="120" t="str">
        <f aca="false">+IF(G210=0,"",+HLOOKUP(vessel,[1]!other_cost,3,0))</f>
        <v/>
      </c>
      <c r="O210" s="121" t="str">
        <f aca="false">+IF(G210=0,"",SUM(H210:N210))</f>
        <v/>
      </c>
      <c r="P210" s="88"/>
      <c r="Q210" s="90"/>
    </row>
    <row r="211" customFormat="false" ht="12.75" hidden="false" customHeight="false" outlineLevel="0" collapsed="false">
      <c r="E211" s="117" t="n">
        <f aca="false">+DATE(YEAR(E210),MONTH(E210)+1,1)</f>
        <v>52048</v>
      </c>
      <c r="F211" s="118" t="e">
        <f aca="false">+VLOOKUP(E211,[1]!curvecalc,3,0)</f>
        <v>#N/A</v>
      </c>
      <c r="G211" s="119" t="n">
        <f aca="false">+IF(AND(startdate&lt;=E211,enddate&gt;=E211),1,0)</f>
        <v>0</v>
      </c>
      <c r="H211" s="120" t="str">
        <f aca="false">+IF($G211=0,"",(+VLOOKUP($E211,[1]!FIXED_CHARTER_COST,HLOOKUP(vessel_choice,[1]!FIXED_CHARTER_COST,2,0)+1,0)*roundtrip_days)/vessel_mmbtu)</f>
        <v/>
      </c>
      <c r="I211" s="120" t="str">
        <f aca="false">+IF($G211=0,"",(+VLOOKUP($E211,[1]!OM_CHARTER_COST,HLOOKUP(vessel_choice,[1]!OM_CHARTER_COST,2,0)+1,0)*roundtrip_days)/vessel_mmbtu)</f>
        <v/>
      </c>
      <c r="J211" s="120" t="str">
        <f aca="false">IF($G211=0,"",(INDEX([1]!bunker_cost,MATCH(route,[1]!bunker_cost_route,0),MATCH(vessel_choice,[1]!bunker_cost_ship,0))/vessel_mmbtu))</f>
        <v/>
      </c>
      <c r="K211" s="120" t="str">
        <f aca="false">IF($G211=0,"",(+INDEX([1]!PORT_CHARGES,MATCH(source,[1]!PORTS,0),MATCH(vessel,[1]!PORT_CHARGE_SHIPS,0))/vessel_mmbtu))</f>
        <v/>
      </c>
      <c r="L211" s="120" t="str">
        <f aca="false">IF($G211=0,"",(+INDEX([1]!PORT_CHARGES,MATCH(destination,[1]!PORTS,0),MATCH(vessel,[1]!PORT_CHARGE_SHIPS,0))/vessel_mmbtu))</f>
        <v/>
      </c>
      <c r="M211" s="120" t="str">
        <f aca="false">IF($G211=0,"",IF(route_choice=1,INDEX([1]!PORT_CHARGES,MATCH(suez,[1]!PORTS,0),MATCH(vessel,[1]!PORT_CHARGE_SHIPS,0)),0)/vessel_mmbtu)</f>
        <v/>
      </c>
      <c r="N211" s="120" t="str">
        <f aca="false">+IF(G211=0,"",+HLOOKUP(vessel,[1]!other_cost,3,0))</f>
        <v/>
      </c>
      <c r="O211" s="121" t="str">
        <f aca="false">+IF(G211=0,"",SUM(H211:N211))</f>
        <v/>
      </c>
      <c r="P211" s="88"/>
      <c r="Q211" s="90"/>
    </row>
    <row r="212" customFormat="false" ht="12.75" hidden="false" customHeight="false" outlineLevel="0" collapsed="false">
      <c r="E212" s="117" t="n">
        <f aca="false">+DATE(YEAR(E211),MONTH(E211)+1,1)</f>
        <v>52079</v>
      </c>
      <c r="F212" s="118" t="e">
        <f aca="false">+VLOOKUP(E212,[1]!curvecalc,3,0)</f>
        <v>#N/A</v>
      </c>
      <c r="G212" s="119" t="n">
        <f aca="false">+IF(AND(startdate&lt;=E212,enddate&gt;=E212),1,0)</f>
        <v>0</v>
      </c>
      <c r="H212" s="120" t="str">
        <f aca="false">+IF($G212=0,"",(+VLOOKUP($E212,[1]!FIXED_CHARTER_COST,HLOOKUP(vessel_choice,[1]!FIXED_CHARTER_COST,2,0)+1,0)*roundtrip_days)/vessel_mmbtu)</f>
        <v/>
      </c>
      <c r="I212" s="120" t="str">
        <f aca="false">+IF($G212=0,"",(+VLOOKUP($E212,[1]!OM_CHARTER_COST,HLOOKUP(vessel_choice,[1]!OM_CHARTER_COST,2,0)+1,0)*roundtrip_days)/vessel_mmbtu)</f>
        <v/>
      </c>
      <c r="J212" s="120" t="str">
        <f aca="false">IF($G212=0,"",(INDEX([1]!bunker_cost,MATCH(route,[1]!bunker_cost_route,0),MATCH(vessel_choice,[1]!bunker_cost_ship,0))/vessel_mmbtu))</f>
        <v/>
      </c>
      <c r="K212" s="120" t="str">
        <f aca="false">IF($G212=0,"",(+INDEX([1]!PORT_CHARGES,MATCH(source,[1]!PORTS,0),MATCH(vessel,[1]!PORT_CHARGE_SHIPS,0))/vessel_mmbtu))</f>
        <v/>
      </c>
      <c r="L212" s="120" t="str">
        <f aca="false">IF($G212=0,"",(+INDEX([1]!PORT_CHARGES,MATCH(destination,[1]!PORTS,0),MATCH(vessel,[1]!PORT_CHARGE_SHIPS,0))/vessel_mmbtu))</f>
        <v/>
      </c>
      <c r="M212" s="120" t="str">
        <f aca="false">IF($G212=0,"",IF(route_choice=1,INDEX([1]!PORT_CHARGES,MATCH(suez,[1]!PORTS,0),MATCH(vessel,[1]!PORT_CHARGE_SHIPS,0)),0)/vessel_mmbtu)</f>
        <v/>
      </c>
      <c r="N212" s="120" t="str">
        <f aca="false">+IF(G212=0,"",+HLOOKUP(vessel,[1]!other_cost,3,0))</f>
        <v/>
      </c>
      <c r="O212" s="121" t="str">
        <f aca="false">+IF(G212=0,"",SUM(H212:N212))</f>
        <v/>
      </c>
      <c r="P212" s="88"/>
      <c r="Q212" s="90"/>
    </row>
    <row r="213" customFormat="false" ht="12.75" hidden="false" customHeight="false" outlineLevel="0" collapsed="false">
      <c r="E213" s="117" t="n">
        <f aca="false">+DATE(YEAR(E212),MONTH(E212)+1,1)</f>
        <v>52110</v>
      </c>
      <c r="F213" s="118" t="e">
        <f aca="false">+VLOOKUP(E213,[1]!curvecalc,3,0)</f>
        <v>#N/A</v>
      </c>
      <c r="G213" s="119" t="n">
        <f aca="false">+IF(AND(startdate&lt;=E213,enddate&gt;=E213),1,0)</f>
        <v>0</v>
      </c>
      <c r="H213" s="120" t="str">
        <f aca="false">+IF($G213=0,"",(+VLOOKUP($E213,[1]!FIXED_CHARTER_COST,HLOOKUP(vessel_choice,[1]!FIXED_CHARTER_COST,2,0)+1,0)*roundtrip_days)/vessel_mmbtu)</f>
        <v/>
      </c>
      <c r="I213" s="120" t="str">
        <f aca="false">+IF($G213=0,"",(+VLOOKUP($E213,[1]!OM_CHARTER_COST,HLOOKUP(vessel_choice,[1]!OM_CHARTER_COST,2,0)+1,0)*roundtrip_days)/vessel_mmbtu)</f>
        <v/>
      </c>
      <c r="J213" s="120" t="str">
        <f aca="false">IF($G213=0,"",(INDEX([1]!bunker_cost,MATCH(route,[1]!bunker_cost_route,0),MATCH(vessel_choice,[1]!bunker_cost_ship,0))/vessel_mmbtu))</f>
        <v/>
      </c>
      <c r="K213" s="120" t="str">
        <f aca="false">IF($G213=0,"",(+INDEX([1]!PORT_CHARGES,MATCH(source,[1]!PORTS,0),MATCH(vessel,[1]!PORT_CHARGE_SHIPS,0))/vessel_mmbtu))</f>
        <v/>
      </c>
      <c r="L213" s="120" t="str">
        <f aca="false">IF($G213=0,"",(+INDEX([1]!PORT_CHARGES,MATCH(destination,[1]!PORTS,0),MATCH(vessel,[1]!PORT_CHARGE_SHIPS,0))/vessel_mmbtu))</f>
        <v/>
      </c>
      <c r="M213" s="120" t="str">
        <f aca="false">IF($G213=0,"",IF(route_choice=1,INDEX([1]!PORT_CHARGES,MATCH(suez,[1]!PORTS,0),MATCH(vessel,[1]!PORT_CHARGE_SHIPS,0)),0)/vessel_mmbtu)</f>
        <v/>
      </c>
      <c r="N213" s="120" t="str">
        <f aca="false">+IF(G213=0,"",+HLOOKUP(vessel,[1]!other_cost,3,0))</f>
        <v/>
      </c>
      <c r="O213" s="121" t="str">
        <f aca="false">+IF(G213=0,"",SUM(H213:N213))</f>
        <v/>
      </c>
      <c r="P213" s="88"/>
      <c r="Q213" s="90"/>
    </row>
    <row r="214" customFormat="false" ht="12.75" hidden="false" customHeight="false" outlineLevel="0" collapsed="false">
      <c r="E214" s="117" t="n">
        <f aca="false">+DATE(YEAR(E213),MONTH(E213)+1,1)</f>
        <v>52140</v>
      </c>
      <c r="F214" s="118" t="e">
        <f aca="false">+VLOOKUP(E214,[1]!curvecalc,3,0)</f>
        <v>#N/A</v>
      </c>
      <c r="G214" s="119" t="n">
        <f aca="false">+IF(AND(startdate&lt;=E214,enddate&gt;=E214),1,0)</f>
        <v>0</v>
      </c>
      <c r="H214" s="120" t="str">
        <f aca="false">+IF($G214=0,"",(+VLOOKUP($E214,[1]!FIXED_CHARTER_COST,HLOOKUP(vessel_choice,[1]!FIXED_CHARTER_COST,2,0)+1,0)*roundtrip_days)/vessel_mmbtu)</f>
        <v/>
      </c>
      <c r="I214" s="120" t="str">
        <f aca="false">+IF($G214=0,"",(+VLOOKUP($E214,[1]!OM_CHARTER_COST,HLOOKUP(vessel_choice,[1]!OM_CHARTER_COST,2,0)+1,0)*roundtrip_days)/vessel_mmbtu)</f>
        <v/>
      </c>
      <c r="J214" s="120" t="str">
        <f aca="false">IF($G214=0,"",(INDEX([1]!bunker_cost,MATCH(route,[1]!bunker_cost_route,0),MATCH(vessel_choice,[1]!bunker_cost_ship,0))/vessel_mmbtu))</f>
        <v/>
      </c>
      <c r="K214" s="120" t="str">
        <f aca="false">IF($G214=0,"",(+INDEX([1]!PORT_CHARGES,MATCH(source,[1]!PORTS,0),MATCH(vessel,[1]!PORT_CHARGE_SHIPS,0))/vessel_mmbtu))</f>
        <v/>
      </c>
      <c r="L214" s="120" t="str">
        <f aca="false">IF($G214=0,"",(+INDEX([1]!PORT_CHARGES,MATCH(destination,[1]!PORTS,0),MATCH(vessel,[1]!PORT_CHARGE_SHIPS,0))/vessel_mmbtu))</f>
        <v/>
      </c>
      <c r="M214" s="120" t="str">
        <f aca="false">IF($G214=0,"",IF(route_choice=1,INDEX([1]!PORT_CHARGES,MATCH(suez,[1]!PORTS,0),MATCH(vessel,[1]!PORT_CHARGE_SHIPS,0)),0)/vessel_mmbtu)</f>
        <v/>
      </c>
      <c r="N214" s="120" t="str">
        <f aca="false">+IF(G214=0,"",+HLOOKUP(vessel,[1]!other_cost,3,0))</f>
        <v/>
      </c>
      <c r="O214" s="121" t="str">
        <f aca="false">+IF(G214=0,"",SUM(H214:N214))</f>
        <v/>
      </c>
      <c r="P214" s="88"/>
      <c r="Q214" s="90"/>
    </row>
    <row r="215" customFormat="false" ht="12.75" hidden="false" customHeight="false" outlineLevel="0" collapsed="false">
      <c r="E215" s="117" t="n">
        <f aca="false">+DATE(YEAR(E214),MONTH(E214)+1,1)</f>
        <v>52171</v>
      </c>
      <c r="F215" s="118" t="e">
        <f aca="false">+VLOOKUP(E215,[1]!curvecalc,3,0)</f>
        <v>#N/A</v>
      </c>
      <c r="G215" s="119" t="n">
        <f aca="false">+IF(AND(startdate&lt;=E215,enddate&gt;=E215),1,0)</f>
        <v>0</v>
      </c>
      <c r="H215" s="120" t="str">
        <f aca="false">+IF($G215=0,"",(+VLOOKUP($E215,[1]!FIXED_CHARTER_COST,HLOOKUP(vessel_choice,[1]!FIXED_CHARTER_COST,2,0)+1,0)*roundtrip_days)/vessel_mmbtu)</f>
        <v/>
      </c>
      <c r="I215" s="120" t="str">
        <f aca="false">+IF($G215=0,"",(+VLOOKUP($E215,[1]!OM_CHARTER_COST,HLOOKUP(vessel_choice,[1]!OM_CHARTER_COST,2,0)+1,0)*roundtrip_days)/vessel_mmbtu)</f>
        <v/>
      </c>
      <c r="J215" s="120" t="str">
        <f aca="false">IF($G215=0,"",(INDEX([1]!bunker_cost,MATCH(route,[1]!bunker_cost_route,0),MATCH(vessel_choice,[1]!bunker_cost_ship,0))/vessel_mmbtu))</f>
        <v/>
      </c>
      <c r="K215" s="120" t="str">
        <f aca="false">IF($G215=0,"",(+INDEX([1]!PORT_CHARGES,MATCH(source,[1]!PORTS,0),MATCH(vessel,[1]!PORT_CHARGE_SHIPS,0))/vessel_mmbtu))</f>
        <v/>
      </c>
      <c r="L215" s="120" t="str">
        <f aca="false">IF($G215=0,"",(+INDEX([1]!PORT_CHARGES,MATCH(destination,[1]!PORTS,0),MATCH(vessel,[1]!PORT_CHARGE_SHIPS,0))/vessel_mmbtu))</f>
        <v/>
      </c>
      <c r="M215" s="120" t="str">
        <f aca="false">IF($G215=0,"",IF(route_choice=1,INDEX([1]!PORT_CHARGES,MATCH(suez,[1]!PORTS,0),MATCH(vessel,[1]!PORT_CHARGE_SHIPS,0)),0)/vessel_mmbtu)</f>
        <v/>
      </c>
      <c r="N215" s="120" t="str">
        <f aca="false">+IF(G215=0,"",+HLOOKUP(vessel,[1]!other_cost,3,0))</f>
        <v/>
      </c>
      <c r="O215" s="121" t="str">
        <f aca="false">+IF(G215=0,"",SUM(H215:N215))</f>
        <v/>
      </c>
      <c r="P215" s="88"/>
      <c r="Q215" s="90"/>
    </row>
    <row r="216" customFormat="false" ht="12.75" hidden="false" customHeight="false" outlineLevel="0" collapsed="false">
      <c r="E216" s="117" t="n">
        <f aca="false">+DATE(YEAR(E215),MONTH(E215)+1,1)</f>
        <v>52201</v>
      </c>
      <c r="F216" s="118" t="e">
        <f aca="false">+VLOOKUP(E216,[1]!curvecalc,3,0)</f>
        <v>#N/A</v>
      </c>
      <c r="G216" s="119" t="n">
        <f aca="false">+IF(AND(startdate&lt;=E216,enddate&gt;=E216),1,0)</f>
        <v>0</v>
      </c>
      <c r="H216" s="120" t="str">
        <f aca="false">+IF($G216=0,"",(+VLOOKUP($E216,[1]!FIXED_CHARTER_COST,HLOOKUP(vessel_choice,[1]!FIXED_CHARTER_COST,2,0)+1,0)*roundtrip_days)/vessel_mmbtu)</f>
        <v/>
      </c>
      <c r="I216" s="120" t="str">
        <f aca="false">+IF($G216=0,"",(+VLOOKUP($E216,[1]!OM_CHARTER_COST,HLOOKUP(vessel_choice,[1]!OM_CHARTER_COST,2,0)+1,0)*roundtrip_days)/vessel_mmbtu)</f>
        <v/>
      </c>
      <c r="J216" s="120" t="str">
        <f aca="false">IF($G216=0,"",(INDEX([1]!bunker_cost,MATCH(route,[1]!bunker_cost_route,0),MATCH(vessel_choice,[1]!bunker_cost_ship,0))/vessel_mmbtu))</f>
        <v/>
      </c>
      <c r="K216" s="120" t="str">
        <f aca="false">IF($G216=0,"",(+INDEX([1]!PORT_CHARGES,MATCH(source,[1]!PORTS,0),MATCH(vessel,[1]!PORT_CHARGE_SHIPS,0))/vessel_mmbtu))</f>
        <v/>
      </c>
      <c r="L216" s="120" t="str">
        <f aca="false">IF($G216=0,"",(+INDEX([1]!PORT_CHARGES,MATCH(destination,[1]!PORTS,0),MATCH(vessel,[1]!PORT_CHARGE_SHIPS,0))/vessel_mmbtu))</f>
        <v/>
      </c>
      <c r="M216" s="120" t="str">
        <f aca="false">IF($G216=0,"",IF(route_choice=1,INDEX([1]!PORT_CHARGES,MATCH(suez,[1]!PORTS,0),MATCH(vessel,[1]!PORT_CHARGE_SHIPS,0)),0)/vessel_mmbtu)</f>
        <v/>
      </c>
      <c r="N216" s="120" t="str">
        <f aca="false">+IF(G216=0,"",+HLOOKUP(vessel,[1]!other_cost,3,0))</f>
        <v/>
      </c>
      <c r="O216" s="121" t="str">
        <f aca="false">+IF(G216=0,"",SUM(H216:N216))</f>
        <v/>
      </c>
      <c r="P216" s="88"/>
      <c r="Q216" s="90"/>
    </row>
    <row r="217" customFormat="false" ht="12.75" hidden="false" customHeight="false" outlineLevel="0" collapsed="false">
      <c r="E217" s="117" t="n">
        <f aca="false">+DATE(YEAR(E216),MONTH(E216)+1,1)</f>
        <v>52232</v>
      </c>
      <c r="F217" s="118" t="e">
        <f aca="false">+VLOOKUP(E217,[1]!curvecalc,3,0)</f>
        <v>#N/A</v>
      </c>
      <c r="G217" s="119" t="n">
        <f aca="false">+IF(AND(startdate&lt;=E217,enddate&gt;=E217),1,0)</f>
        <v>0</v>
      </c>
      <c r="H217" s="120" t="str">
        <f aca="false">+IF($G217=0,"",(+VLOOKUP($E217,[1]!FIXED_CHARTER_COST,HLOOKUP(vessel_choice,[1]!FIXED_CHARTER_COST,2,0)+1,0)*roundtrip_days)/vessel_mmbtu)</f>
        <v/>
      </c>
      <c r="I217" s="120" t="str">
        <f aca="false">+IF($G217=0,"",(+VLOOKUP($E217,[1]!OM_CHARTER_COST,HLOOKUP(vessel_choice,[1]!OM_CHARTER_COST,2,0)+1,0)*roundtrip_days)/vessel_mmbtu)</f>
        <v/>
      </c>
      <c r="J217" s="120" t="str">
        <f aca="false">IF($G217=0,"",(INDEX([1]!bunker_cost,MATCH(route,[1]!bunker_cost_route,0),MATCH(vessel_choice,[1]!bunker_cost_ship,0))/vessel_mmbtu))</f>
        <v/>
      </c>
      <c r="K217" s="120" t="str">
        <f aca="false">IF($G217=0,"",(+INDEX([1]!PORT_CHARGES,MATCH(source,[1]!PORTS,0),MATCH(vessel,[1]!PORT_CHARGE_SHIPS,0))/vessel_mmbtu))</f>
        <v/>
      </c>
      <c r="L217" s="120" t="str">
        <f aca="false">IF($G217=0,"",(+INDEX([1]!PORT_CHARGES,MATCH(destination,[1]!PORTS,0),MATCH(vessel,[1]!PORT_CHARGE_SHIPS,0))/vessel_mmbtu))</f>
        <v/>
      </c>
      <c r="M217" s="120" t="str">
        <f aca="false">IF($G217=0,"",IF(route_choice=1,INDEX([1]!PORT_CHARGES,MATCH(suez,[1]!PORTS,0),MATCH(vessel,[1]!PORT_CHARGE_SHIPS,0)),0)/vessel_mmbtu)</f>
        <v/>
      </c>
      <c r="N217" s="120" t="str">
        <f aca="false">+IF(G217=0,"",+HLOOKUP(vessel,[1]!other_cost,3,0))</f>
        <v/>
      </c>
      <c r="O217" s="121" t="str">
        <f aca="false">+IF(G217=0,"",SUM(H217:N217))</f>
        <v/>
      </c>
      <c r="P217" s="88"/>
      <c r="Q217" s="90"/>
    </row>
    <row r="218" customFormat="false" ht="12.75" hidden="false" customHeight="false" outlineLevel="0" collapsed="false">
      <c r="E218" s="117" t="n">
        <f aca="false">+DATE(YEAR(E217),MONTH(E217)+1,1)</f>
        <v>52263</v>
      </c>
      <c r="F218" s="118" t="e">
        <f aca="false">+VLOOKUP(E218,[1]!curvecalc,3,0)</f>
        <v>#N/A</v>
      </c>
      <c r="G218" s="119" t="n">
        <f aca="false">+IF(AND(startdate&lt;=E218,enddate&gt;=E218),1,0)</f>
        <v>0</v>
      </c>
      <c r="H218" s="120" t="str">
        <f aca="false">+IF($G218=0,"",(+VLOOKUP($E218,[1]!FIXED_CHARTER_COST,HLOOKUP(vessel_choice,[1]!FIXED_CHARTER_COST,2,0)+1,0)*roundtrip_days)/vessel_mmbtu)</f>
        <v/>
      </c>
      <c r="I218" s="120" t="str">
        <f aca="false">+IF($G218=0,"",(+VLOOKUP($E218,[1]!OM_CHARTER_COST,HLOOKUP(vessel_choice,[1]!OM_CHARTER_COST,2,0)+1,0)*roundtrip_days)/vessel_mmbtu)</f>
        <v/>
      </c>
      <c r="J218" s="120" t="str">
        <f aca="false">IF($G218=0,"",(INDEX([1]!bunker_cost,MATCH(route,[1]!bunker_cost_route,0),MATCH(vessel_choice,[1]!bunker_cost_ship,0))/vessel_mmbtu))</f>
        <v/>
      </c>
      <c r="K218" s="120" t="str">
        <f aca="false">IF($G218=0,"",(+INDEX([1]!PORT_CHARGES,MATCH(source,[1]!PORTS,0),MATCH(vessel,[1]!PORT_CHARGE_SHIPS,0))/vessel_mmbtu))</f>
        <v/>
      </c>
      <c r="L218" s="120" t="str">
        <f aca="false">IF($G218=0,"",(+INDEX([1]!PORT_CHARGES,MATCH(destination,[1]!PORTS,0),MATCH(vessel,[1]!PORT_CHARGE_SHIPS,0))/vessel_mmbtu))</f>
        <v/>
      </c>
      <c r="M218" s="120" t="str">
        <f aca="false">IF($G218=0,"",IF(route_choice=1,INDEX([1]!PORT_CHARGES,MATCH(suez,[1]!PORTS,0),MATCH(vessel,[1]!PORT_CHARGE_SHIPS,0)),0)/vessel_mmbtu)</f>
        <v/>
      </c>
      <c r="N218" s="120" t="str">
        <f aca="false">+IF(G218=0,"",+HLOOKUP(vessel,[1]!other_cost,3,0))</f>
        <v/>
      </c>
      <c r="O218" s="121" t="str">
        <f aca="false">+IF(G218=0,"",SUM(H218:N218))</f>
        <v/>
      </c>
      <c r="P218" s="88"/>
      <c r="Q218" s="90"/>
    </row>
    <row r="219" customFormat="false" ht="12.75" hidden="false" customHeight="false" outlineLevel="0" collapsed="false">
      <c r="E219" s="117" t="n">
        <f aca="false">+DATE(YEAR(E218),MONTH(E218)+1,1)</f>
        <v>52291</v>
      </c>
      <c r="F219" s="118" t="e">
        <f aca="false">+VLOOKUP(E219,[1]!curvecalc,3,0)</f>
        <v>#N/A</v>
      </c>
      <c r="G219" s="119" t="n">
        <f aca="false">+IF(AND(startdate&lt;=E219,enddate&gt;=E219),1,0)</f>
        <v>0</v>
      </c>
      <c r="H219" s="120" t="str">
        <f aca="false">+IF($G219=0,"",(+VLOOKUP($E219,[1]!FIXED_CHARTER_COST,HLOOKUP(vessel_choice,[1]!FIXED_CHARTER_COST,2,0)+1,0)*roundtrip_days)/vessel_mmbtu)</f>
        <v/>
      </c>
      <c r="I219" s="120" t="str">
        <f aca="false">+IF($G219=0,"",(+VLOOKUP($E219,[1]!OM_CHARTER_COST,HLOOKUP(vessel_choice,[1]!OM_CHARTER_COST,2,0)+1,0)*roundtrip_days)/vessel_mmbtu)</f>
        <v/>
      </c>
      <c r="J219" s="120" t="str">
        <f aca="false">IF($G219=0,"",(INDEX([1]!bunker_cost,MATCH(route,[1]!bunker_cost_route,0),MATCH(vessel_choice,[1]!bunker_cost_ship,0))/vessel_mmbtu))</f>
        <v/>
      </c>
      <c r="K219" s="120" t="str">
        <f aca="false">IF($G219=0,"",(+INDEX([1]!PORT_CHARGES,MATCH(source,[1]!PORTS,0),MATCH(vessel,[1]!PORT_CHARGE_SHIPS,0))/vessel_mmbtu))</f>
        <v/>
      </c>
      <c r="L219" s="120" t="str">
        <f aca="false">IF($G219=0,"",(+INDEX([1]!PORT_CHARGES,MATCH(destination,[1]!PORTS,0),MATCH(vessel,[1]!PORT_CHARGE_SHIPS,0))/vessel_mmbtu))</f>
        <v/>
      </c>
      <c r="M219" s="120" t="str">
        <f aca="false">IF($G219=0,"",IF(route_choice=1,INDEX([1]!PORT_CHARGES,MATCH(suez,[1]!PORTS,0),MATCH(vessel,[1]!PORT_CHARGE_SHIPS,0)),0)/vessel_mmbtu)</f>
        <v/>
      </c>
      <c r="N219" s="120" t="str">
        <f aca="false">+IF(G219=0,"",+HLOOKUP(vessel,[1]!other_cost,3,0))</f>
        <v/>
      </c>
      <c r="O219" s="121" t="str">
        <f aca="false">+IF(G219=0,"",SUM(H219:N219))</f>
        <v/>
      </c>
      <c r="P219" s="88"/>
      <c r="Q219" s="90"/>
    </row>
    <row r="220" customFormat="false" ht="12.75" hidden="false" customHeight="false" outlineLevel="0" collapsed="false">
      <c r="E220" s="117" t="n">
        <f aca="false">+DATE(YEAR(E219),MONTH(E219)+1,1)</f>
        <v>52322</v>
      </c>
      <c r="F220" s="118" t="e">
        <f aca="false">+VLOOKUP(E220,[1]!curvecalc,3,0)</f>
        <v>#N/A</v>
      </c>
      <c r="G220" s="119" t="n">
        <f aca="false">+IF(AND(startdate&lt;=E220,enddate&gt;=E220),1,0)</f>
        <v>0</v>
      </c>
      <c r="H220" s="120" t="str">
        <f aca="false">+IF($G220=0,"",(+VLOOKUP($E220,[1]!FIXED_CHARTER_COST,HLOOKUP(vessel_choice,[1]!FIXED_CHARTER_COST,2,0)+1,0)*roundtrip_days)/vessel_mmbtu)</f>
        <v/>
      </c>
      <c r="I220" s="120" t="str">
        <f aca="false">+IF($G220=0,"",(+VLOOKUP($E220,[1]!OM_CHARTER_COST,HLOOKUP(vessel_choice,[1]!OM_CHARTER_COST,2,0)+1,0)*roundtrip_days)/vessel_mmbtu)</f>
        <v/>
      </c>
      <c r="J220" s="120" t="str">
        <f aca="false">IF($G220=0,"",(INDEX([1]!bunker_cost,MATCH(route,[1]!bunker_cost_route,0),MATCH(vessel_choice,[1]!bunker_cost_ship,0))/vessel_mmbtu))</f>
        <v/>
      </c>
      <c r="K220" s="120" t="str">
        <f aca="false">IF($G220=0,"",(+INDEX([1]!PORT_CHARGES,MATCH(source,[1]!PORTS,0),MATCH(vessel,[1]!PORT_CHARGE_SHIPS,0))/vessel_mmbtu))</f>
        <v/>
      </c>
      <c r="L220" s="120" t="str">
        <f aca="false">IF($G220=0,"",(+INDEX([1]!PORT_CHARGES,MATCH(destination,[1]!PORTS,0),MATCH(vessel,[1]!PORT_CHARGE_SHIPS,0))/vessel_mmbtu))</f>
        <v/>
      </c>
      <c r="M220" s="120" t="str">
        <f aca="false">IF($G220=0,"",IF(route_choice=1,INDEX([1]!PORT_CHARGES,MATCH(suez,[1]!PORTS,0),MATCH(vessel,[1]!PORT_CHARGE_SHIPS,0)),0)/vessel_mmbtu)</f>
        <v/>
      </c>
      <c r="N220" s="120" t="str">
        <f aca="false">+IF(G220=0,"",+HLOOKUP(vessel,[1]!other_cost,3,0))</f>
        <v/>
      </c>
      <c r="O220" s="121" t="str">
        <f aca="false">+IF(G220=0,"",SUM(H220:N220))</f>
        <v/>
      </c>
      <c r="P220" s="88"/>
      <c r="Q220" s="90"/>
    </row>
    <row r="221" customFormat="false" ht="12.75" hidden="false" customHeight="false" outlineLevel="0" collapsed="false">
      <c r="E221" s="117" t="n">
        <f aca="false">+DATE(YEAR(E220),MONTH(E220)+1,1)</f>
        <v>52352</v>
      </c>
      <c r="F221" s="118" t="e">
        <f aca="false">+VLOOKUP(E221,[1]!curvecalc,3,0)</f>
        <v>#N/A</v>
      </c>
      <c r="G221" s="119" t="n">
        <f aca="false">+IF(AND(startdate&lt;=E221,enddate&gt;=E221),1,0)</f>
        <v>0</v>
      </c>
      <c r="H221" s="120" t="str">
        <f aca="false">+IF($G221=0,"",(+VLOOKUP($E221,[1]!FIXED_CHARTER_COST,HLOOKUP(vessel_choice,[1]!FIXED_CHARTER_COST,2,0)+1,0)*roundtrip_days)/vessel_mmbtu)</f>
        <v/>
      </c>
      <c r="I221" s="120" t="str">
        <f aca="false">+IF($G221=0,"",(+VLOOKUP($E221,[1]!OM_CHARTER_COST,HLOOKUP(vessel_choice,[1]!OM_CHARTER_COST,2,0)+1,0)*roundtrip_days)/vessel_mmbtu)</f>
        <v/>
      </c>
      <c r="J221" s="120" t="str">
        <f aca="false">IF($G221=0,"",(INDEX([1]!bunker_cost,MATCH(route,[1]!bunker_cost_route,0),MATCH(vessel_choice,[1]!bunker_cost_ship,0))/vessel_mmbtu))</f>
        <v/>
      </c>
      <c r="K221" s="120" t="str">
        <f aca="false">IF($G221=0,"",(+INDEX([1]!PORT_CHARGES,MATCH(source,[1]!PORTS,0),MATCH(vessel,[1]!PORT_CHARGE_SHIPS,0))/vessel_mmbtu))</f>
        <v/>
      </c>
      <c r="L221" s="120" t="str">
        <f aca="false">IF($G221=0,"",(+INDEX([1]!PORT_CHARGES,MATCH(destination,[1]!PORTS,0),MATCH(vessel,[1]!PORT_CHARGE_SHIPS,0))/vessel_mmbtu))</f>
        <v/>
      </c>
      <c r="M221" s="120" t="str">
        <f aca="false">IF($G221=0,"",IF(route_choice=1,INDEX([1]!PORT_CHARGES,MATCH(suez,[1]!PORTS,0),MATCH(vessel,[1]!PORT_CHARGE_SHIPS,0)),0)/vessel_mmbtu)</f>
        <v/>
      </c>
      <c r="N221" s="120" t="str">
        <f aca="false">+IF(G221=0,"",+HLOOKUP(vessel,[1]!other_cost,3,0))</f>
        <v/>
      </c>
      <c r="O221" s="121" t="str">
        <f aca="false">+IF(G221=0,"",SUM(H221:N221))</f>
        <v/>
      </c>
      <c r="P221" s="88"/>
      <c r="Q221" s="90"/>
    </row>
    <row r="222" customFormat="false" ht="12.75" hidden="false" customHeight="false" outlineLevel="0" collapsed="false">
      <c r="E222" s="117" t="n">
        <f aca="false">+DATE(YEAR(E221),MONTH(E221)+1,1)</f>
        <v>52383</v>
      </c>
      <c r="F222" s="118" t="e">
        <f aca="false">+VLOOKUP(E222,[1]!curvecalc,3,0)</f>
        <v>#N/A</v>
      </c>
      <c r="G222" s="119" t="n">
        <f aca="false">+IF(AND(startdate&lt;=E222,enddate&gt;=E222),1,0)</f>
        <v>0</v>
      </c>
      <c r="H222" s="120" t="str">
        <f aca="false">+IF($G222=0,"",(+VLOOKUP($E222,[1]!FIXED_CHARTER_COST,HLOOKUP(vessel_choice,[1]!FIXED_CHARTER_COST,2,0)+1,0)*roundtrip_days)/vessel_mmbtu)</f>
        <v/>
      </c>
      <c r="I222" s="120" t="str">
        <f aca="false">+IF($G222=0,"",(+VLOOKUP($E222,[1]!OM_CHARTER_COST,HLOOKUP(vessel_choice,[1]!OM_CHARTER_COST,2,0)+1,0)*roundtrip_days)/vessel_mmbtu)</f>
        <v/>
      </c>
      <c r="J222" s="120" t="str">
        <f aca="false">IF($G222=0,"",(INDEX([1]!bunker_cost,MATCH(route,[1]!bunker_cost_route,0),MATCH(vessel_choice,[1]!bunker_cost_ship,0))/vessel_mmbtu))</f>
        <v/>
      </c>
      <c r="K222" s="120" t="str">
        <f aca="false">IF($G222=0,"",(+INDEX([1]!PORT_CHARGES,MATCH(source,[1]!PORTS,0),MATCH(vessel,[1]!PORT_CHARGE_SHIPS,0))/vessel_mmbtu))</f>
        <v/>
      </c>
      <c r="L222" s="120" t="str">
        <f aca="false">IF($G222=0,"",(+INDEX([1]!PORT_CHARGES,MATCH(destination,[1]!PORTS,0),MATCH(vessel,[1]!PORT_CHARGE_SHIPS,0))/vessel_mmbtu))</f>
        <v/>
      </c>
      <c r="M222" s="120" t="str">
        <f aca="false">IF($G222=0,"",IF(route_choice=1,INDEX([1]!PORT_CHARGES,MATCH(suez,[1]!PORTS,0),MATCH(vessel,[1]!PORT_CHARGE_SHIPS,0)),0)/vessel_mmbtu)</f>
        <v/>
      </c>
      <c r="N222" s="120" t="str">
        <f aca="false">+IF(G222=0,"",+HLOOKUP(vessel,[1]!other_cost,3,0))</f>
        <v/>
      </c>
      <c r="O222" s="121" t="str">
        <f aca="false">+IF(G222=0,"",SUM(H222:N222))</f>
        <v/>
      </c>
      <c r="P222" s="88"/>
      <c r="Q222" s="90"/>
    </row>
    <row r="223" customFormat="false" ht="12.75" hidden="false" customHeight="false" outlineLevel="0" collapsed="false">
      <c r="E223" s="117" t="n">
        <f aca="false">+DATE(YEAR(E222),MONTH(E222)+1,1)</f>
        <v>52413</v>
      </c>
      <c r="F223" s="118" t="e">
        <f aca="false">+VLOOKUP(E223,[1]!curvecalc,3,0)</f>
        <v>#N/A</v>
      </c>
      <c r="G223" s="119" t="n">
        <f aca="false">+IF(AND(startdate&lt;=E223,enddate&gt;=E223),1,0)</f>
        <v>0</v>
      </c>
      <c r="H223" s="120" t="str">
        <f aca="false">+IF($G223=0,"",(+VLOOKUP($E223,[1]!FIXED_CHARTER_COST,HLOOKUP(vessel_choice,[1]!FIXED_CHARTER_COST,2,0)+1,0)*roundtrip_days)/vessel_mmbtu)</f>
        <v/>
      </c>
      <c r="I223" s="120" t="str">
        <f aca="false">+IF($G223=0,"",(+VLOOKUP($E223,[1]!OM_CHARTER_COST,HLOOKUP(vessel_choice,[1]!OM_CHARTER_COST,2,0)+1,0)*roundtrip_days)/vessel_mmbtu)</f>
        <v/>
      </c>
      <c r="J223" s="120" t="str">
        <f aca="false">IF($G223=0,"",(INDEX([1]!bunker_cost,MATCH(route,[1]!bunker_cost_route,0),MATCH(vessel_choice,[1]!bunker_cost_ship,0))/vessel_mmbtu))</f>
        <v/>
      </c>
      <c r="K223" s="120" t="str">
        <f aca="false">IF($G223=0,"",(+INDEX([1]!PORT_CHARGES,MATCH(source,[1]!PORTS,0),MATCH(vessel,[1]!PORT_CHARGE_SHIPS,0))/vessel_mmbtu))</f>
        <v/>
      </c>
      <c r="L223" s="120" t="str">
        <f aca="false">IF($G223=0,"",(+INDEX([1]!PORT_CHARGES,MATCH(destination,[1]!PORTS,0),MATCH(vessel,[1]!PORT_CHARGE_SHIPS,0))/vessel_mmbtu))</f>
        <v/>
      </c>
      <c r="M223" s="120" t="str">
        <f aca="false">IF($G223=0,"",IF(route_choice=1,INDEX([1]!PORT_CHARGES,MATCH(suez,[1]!PORTS,0),MATCH(vessel,[1]!PORT_CHARGE_SHIPS,0)),0)/vessel_mmbtu)</f>
        <v/>
      </c>
      <c r="N223" s="120" t="str">
        <f aca="false">+IF(G223=0,"",+HLOOKUP(vessel,[1]!other_cost,3,0))</f>
        <v/>
      </c>
      <c r="O223" s="121" t="str">
        <f aca="false">+IF(G223=0,"",SUM(H223:N223))</f>
        <v/>
      </c>
      <c r="P223" s="88"/>
      <c r="Q223" s="90"/>
    </row>
    <row r="224" customFormat="false" ht="12.75" hidden="false" customHeight="false" outlineLevel="0" collapsed="false">
      <c r="E224" s="117" t="n">
        <f aca="false">+DATE(YEAR(E223),MONTH(E223)+1,1)</f>
        <v>52444</v>
      </c>
      <c r="F224" s="118" t="e">
        <f aca="false">+VLOOKUP(E224,[1]!curvecalc,3,0)</f>
        <v>#N/A</v>
      </c>
      <c r="G224" s="119" t="n">
        <f aca="false">+IF(AND(startdate&lt;=E224,enddate&gt;=E224),1,0)</f>
        <v>0</v>
      </c>
      <c r="H224" s="120" t="str">
        <f aca="false">+IF($G224=0,"",(+VLOOKUP($E224,[1]!FIXED_CHARTER_COST,HLOOKUP(vessel_choice,[1]!FIXED_CHARTER_COST,2,0)+1,0)*roundtrip_days)/vessel_mmbtu)</f>
        <v/>
      </c>
      <c r="I224" s="120" t="str">
        <f aca="false">+IF($G224=0,"",(+VLOOKUP($E224,[1]!OM_CHARTER_COST,HLOOKUP(vessel_choice,[1]!OM_CHARTER_COST,2,0)+1,0)*roundtrip_days)/vessel_mmbtu)</f>
        <v/>
      </c>
      <c r="J224" s="120" t="str">
        <f aca="false">IF($G224=0,"",(INDEX([1]!bunker_cost,MATCH(route,[1]!bunker_cost_route,0),MATCH(vessel_choice,[1]!bunker_cost_ship,0))/vessel_mmbtu))</f>
        <v/>
      </c>
      <c r="K224" s="120" t="str">
        <f aca="false">IF($G224=0,"",(+INDEX([1]!PORT_CHARGES,MATCH(source,[1]!PORTS,0),MATCH(vessel,[1]!PORT_CHARGE_SHIPS,0))/vessel_mmbtu))</f>
        <v/>
      </c>
      <c r="L224" s="120" t="str">
        <f aca="false">IF($G224=0,"",(+INDEX([1]!PORT_CHARGES,MATCH(destination,[1]!PORTS,0),MATCH(vessel,[1]!PORT_CHARGE_SHIPS,0))/vessel_mmbtu))</f>
        <v/>
      </c>
      <c r="M224" s="120" t="str">
        <f aca="false">IF($G224=0,"",IF(route_choice=1,INDEX([1]!PORT_CHARGES,MATCH(suez,[1]!PORTS,0),MATCH(vessel,[1]!PORT_CHARGE_SHIPS,0)),0)/vessel_mmbtu)</f>
        <v/>
      </c>
      <c r="N224" s="120" t="str">
        <f aca="false">+IF(G224=0,"",+HLOOKUP(vessel,[1]!other_cost,3,0))</f>
        <v/>
      </c>
      <c r="O224" s="121" t="str">
        <f aca="false">+IF(G224=0,"",SUM(H224:N224))</f>
        <v/>
      </c>
      <c r="P224" s="88"/>
      <c r="Q224" s="90"/>
    </row>
    <row r="225" customFormat="false" ht="12.75" hidden="false" customHeight="false" outlineLevel="0" collapsed="false">
      <c r="E225" s="117" t="n">
        <f aca="false">+DATE(YEAR(E224),MONTH(E224)+1,1)</f>
        <v>52475</v>
      </c>
      <c r="F225" s="118" t="e">
        <f aca="false">+VLOOKUP(E225,[1]!curvecalc,3,0)</f>
        <v>#N/A</v>
      </c>
      <c r="G225" s="119" t="n">
        <f aca="false">+IF(AND(startdate&lt;=E225,enddate&gt;=E225),1,0)</f>
        <v>0</v>
      </c>
      <c r="H225" s="120" t="str">
        <f aca="false">+IF($G225=0,"",(+VLOOKUP($E225,[1]!FIXED_CHARTER_COST,HLOOKUP(vessel_choice,[1]!FIXED_CHARTER_COST,2,0)+1,0)*roundtrip_days)/vessel_mmbtu)</f>
        <v/>
      </c>
      <c r="I225" s="120" t="str">
        <f aca="false">+IF($G225=0,"",(+VLOOKUP($E225,[1]!OM_CHARTER_COST,HLOOKUP(vessel_choice,[1]!OM_CHARTER_COST,2,0)+1,0)*roundtrip_days)/vessel_mmbtu)</f>
        <v/>
      </c>
      <c r="J225" s="120" t="str">
        <f aca="false">IF($G225=0,"",(INDEX([1]!bunker_cost,MATCH(route,[1]!bunker_cost_route,0),MATCH(vessel_choice,[1]!bunker_cost_ship,0))/vessel_mmbtu))</f>
        <v/>
      </c>
      <c r="K225" s="120" t="str">
        <f aca="false">IF($G225=0,"",(+INDEX([1]!PORT_CHARGES,MATCH(source,[1]!PORTS,0),MATCH(vessel,[1]!PORT_CHARGE_SHIPS,0))/vessel_mmbtu))</f>
        <v/>
      </c>
      <c r="L225" s="120" t="str">
        <f aca="false">IF($G225=0,"",(+INDEX([1]!PORT_CHARGES,MATCH(destination,[1]!PORTS,0),MATCH(vessel,[1]!PORT_CHARGE_SHIPS,0))/vessel_mmbtu))</f>
        <v/>
      </c>
      <c r="M225" s="120" t="str">
        <f aca="false">IF($G225=0,"",IF(route_choice=1,INDEX([1]!PORT_CHARGES,MATCH(suez,[1]!PORTS,0),MATCH(vessel,[1]!PORT_CHARGE_SHIPS,0)),0)/vessel_mmbtu)</f>
        <v/>
      </c>
      <c r="N225" s="120" t="str">
        <f aca="false">+IF(G225=0,"",+HLOOKUP(vessel,[1]!other_cost,3,0))</f>
        <v/>
      </c>
      <c r="O225" s="121" t="str">
        <f aca="false">+IF(G225=0,"",SUM(H225:N225))</f>
        <v/>
      </c>
      <c r="P225" s="88"/>
      <c r="Q225" s="90"/>
    </row>
    <row r="226" customFormat="false" ht="12.75" hidden="false" customHeight="false" outlineLevel="0" collapsed="false">
      <c r="E226" s="117" t="n">
        <f aca="false">+DATE(YEAR(E225),MONTH(E225)+1,1)</f>
        <v>52505</v>
      </c>
      <c r="F226" s="118" t="e">
        <f aca="false">+VLOOKUP(E226,[1]!curvecalc,3,0)</f>
        <v>#N/A</v>
      </c>
      <c r="G226" s="119" t="n">
        <f aca="false">+IF(AND(startdate&lt;=E226,enddate&gt;=E226),1,0)</f>
        <v>0</v>
      </c>
      <c r="H226" s="120" t="str">
        <f aca="false">+IF($G226=0,"",(+VLOOKUP($E226,[1]!FIXED_CHARTER_COST,HLOOKUP(vessel_choice,[1]!FIXED_CHARTER_COST,2,0)+1,0)*roundtrip_days)/vessel_mmbtu)</f>
        <v/>
      </c>
      <c r="I226" s="120" t="str">
        <f aca="false">+IF($G226=0,"",(+VLOOKUP($E226,[1]!OM_CHARTER_COST,HLOOKUP(vessel_choice,[1]!OM_CHARTER_COST,2,0)+1,0)*roundtrip_days)/vessel_mmbtu)</f>
        <v/>
      </c>
      <c r="J226" s="120" t="str">
        <f aca="false">IF($G226=0,"",(INDEX([1]!bunker_cost,MATCH(route,[1]!bunker_cost_route,0),MATCH(vessel_choice,[1]!bunker_cost_ship,0))/vessel_mmbtu))</f>
        <v/>
      </c>
      <c r="K226" s="120" t="str">
        <f aca="false">IF($G226=0,"",(+INDEX([1]!PORT_CHARGES,MATCH(source,[1]!PORTS,0),MATCH(vessel,[1]!PORT_CHARGE_SHIPS,0))/vessel_mmbtu))</f>
        <v/>
      </c>
      <c r="L226" s="120" t="str">
        <f aca="false">IF($G226=0,"",(+INDEX([1]!PORT_CHARGES,MATCH(destination,[1]!PORTS,0),MATCH(vessel,[1]!PORT_CHARGE_SHIPS,0))/vessel_mmbtu))</f>
        <v/>
      </c>
      <c r="M226" s="120" t="str">
        <f aca="false">IF($G226=0,"",IF(route_choice=1,INDEX([1]!PORT_CHARGES,MATCH(suez,[1]!PORTS,0),MATCH(vessel,[1]!PORT_CHARGE_SHIPS,0)),0)/vessel_mmbtu)</f>
        <v/>
      </c>
      <c r="N226" s="120" t="str">
        <f aca="false">+IF(G226=0,"",+HLOOKUP(vessel,[1]!other_cost,3,0))</f>
        <v/>
      </c>
      <c r="O226" s="121" t="str">
        <f aca="false">+IF(G226=0,"",SUM(H226:N226))</f>
        <v/>
      </c>
      <c r="P226" s="88"/>
      <c r="Q226" s="90"/>
    </row>
    <row r="227" customFormat="false" ht="12.75" hidden="false" customHeight="false" outlineLevel="0" collapsed="false">
      <c r="E227" s="117" t="n">
        <f aca="false">+DATE(YEAR(E226),MONTH(E226)+1,1)</f>
        <v>52536</v>
      </c>
      <c r="F227" s="118" t="e">
        <f aca="false">+VLOOKUP(E227,[1]!curvecalc,3,0)</f>
        <v>#N/A</v>
      </c>
      <c r="G227" s="119" t="n">
        <f aca="false">+IF(AND(startdate&lt;=E227,enddate&gt;=E227),1,0)</f>
        <v>0</v>
      </c>
      <c r="H227" s="120" t="str">
        <f aca="false">+IF($G227=0,"",(+VLOOKUP($E227,[1]!FIXED_CHARTER_COST,HLOOKUP(vessel_choice,[1]!FIXED_CHARTER_COST,2,0)+1,0)*roundtrip_days)/vessel_mmbtu)</f>
        <v/>
      </c>
      <c r="I227" s="120" t="str">
        <f aca="false">+IF($G227=0,"",(+VLOOKUP($E227,[1]!OM_CHARTER_COST,HLOOKUP(vessel_choice,[1]!OM_CHARTER_COST,2,0)+1,0)*roundtrip_days)/vessel_mmbtu)</f>
        <v/>
      </c>
      <c r="J227" s="120" t="str">
        <f aca="false">IF($G227=0,"",(INDEX([1]!bunker_cost,MATCH(route,[1]!bunker_cost_route,0),MATCH(vessel_choice,[1]!bunker_cost_ship,0))/vessel_mmbtu))</f>
        <v/>
      </c>
      <c r="K227" s="120" t="str">
        <f aca="false">IF($G227=0,"",(+INDEX([1]!PORT_CHARGES,MATCH(source,[1]!PORTS,0),MATCH(vessel,[1]!PORT_CHARGE_SHIPS,0))/vessel_mmbtu))</f>
        <v/>
      </c>
      <c r="L227" s="120" t="str">
        <f aca="false">IF($G227=0,"",(+INDEX([1]!PORT_CHARGES,MATCH(destination,[1]!PORTS,0),MATCH(vessel,[1]!PORT_CHARGE_SHIPS,0))/vessel_mmbtu))</f>
        <v/>
      </c>
      <c r="M227" s="120" t="str">
        <f aca="false">IF($G227=0,"",IF(route_choice=1,INDEX([1]!PORT_CHARGES,MATCH(suez,[1]!PORTS,0),MATCH(vessel,[1]!PORT_CHARGE_SHIPS,0)),0)/vessel_mmbtu)</f>
        <v/>
      </c>
      <c r="N227" s="120" t="str">
        <f aca="false">+IF(G227=0,"",+HLOOKUP(vessel,[1]!other_cost,3,0))</f>
        <v/>
      </c>
      <c r="O227" s="121" t="str">
        <f aca="false">+IF(G227=0,"",SUM(H227:N227))</f>
        <v/>
      </c>
      <c r="P227" s="88"/>
      <c r="Q227" s="90"/>
    </row>
    <row r="228" customFormat="false" ht="12.75" hidden="false" customHeight="false" outlineLevel="0" collapsed="false">
      <c r="E228" s="117" t="n">
        <f aca="false">+DATE(YEAR(E227),MONTH(E227)+1,1)</f>
        <v>52566</v>
      </c>
      <c r="F228" s="118" t="e">
        <f aca="false">+VLOOKUP(E228,[1]!curvecalc,3,0)</f>
        <v>#N/A</v>
      </c>
      <c r="G228" s="119" t="n">
        <f aca="false">+IF(AND(startdate&lt;=E228,enddate&gt;=E228),1,0)</f>
        <v>0</v>
      </c>
      <c r="H228" s="120" t="str">
        <f aca="false">+IF($G228=0,"",(+VLOOKUP($E228,[1]!FIXED_CHARTER_COST,HLOOKUP(vessel_choice,[1]!FIXED_CHARTER_COST,2,0)+1,0)*roundtrip_days)/vessel_mmbtu)</f>
        <v/>
      </c>
      <c r="I228" s="120" t="str">
        <f aca="false">+IF($G228=0,"",(+VLOOKUP($E228,[1]!OM_CHARTER_COST,HLOOKUP(vessel_choice,[1]!OM_CHARTER_COST,2,0)+1,0)*roundtrip_days)/vessel_mmbtu)</f>
        <v/>
      </c>
      <c r="J228" s="120" t="str">
        <f aca="false">IF($G228=0,"",(INDEX([1]!bunker_cost,MATCH(route,[1]!bunker_cost_route,0),MATCH(vessel_choice,[1]!bunker_cost_ship,0))/vessel_mmbtu))</f>
        <v/>
      </c>
      <c r="K228" s="120" t="str">
        <f aca="false">IF($G228=0,"",(+INDEX([1]!PORT_CHARGES,MATCH(source,[1]!PORTS,0),MATCH(vessel,[1]!PORT_CHARGE_SHIPS,0))/vessel_mmbtu))</f>
        <v/>
      </c>
      <c r="L228" s="120" t="str">
        <f aca="false">IF($G228=0,"",(+INDEX([1]!PORT_CHARGES,MATCH(destination,[1]!PORTS,0),MATCH(vessel,[1]!PORT_CHARGE_SHIPS,0))/vessel_mmbtu))</f>
        <v/>
      </c>
      <c r="M228" s="120" t="str">
        <f aca="false">IF($G228=0,"",IF(route_choice=1,INDEX([1]!PORT_CHARGES,MATCH(suez,[1]!PORTS,0),MATCH(vessel,[1]!PORT_CHARGE_SHIPS,0)),0)/vessel_mmbtu)</f>
        <v/>
      </c>
      <c r="N228" s="120" t="str">
        <f aca="false">+IF(G228=0,"",+HLOOKUP(vessel,[1]!other_cost,3,0))</f>
        <v/>
      </c>
      <c r="O228" s="121" t="str">
        <f aca="false">+IF(G228=0,"",SUM(H228:N228))</f>
        <v/>
      </c>
      <c r="P228" s="88"/>
      <c r="Q228" s="90"/>
    </row>
    <row r="229" customFormat="false" ht="12.75" hidden="false" customHeight="false" outlineLevel="0" collapsed="false">
      <c r="E229" s="117" t="n">
        <f aca="false">+DATE(YEAR(E228),MONTH(E228)+1,1)</f>
        <v>52597</v>
      </c>
      <c r="F229" s="118" t="e">
        <f aca="false">+VLOOKUP(E229,[1]!curvecalc,3,0)</f>
        <v>#N/A</v>
      </c>
      <c r="G229" s="119" t="n">
        <f aca="false">+IF(AND(startdate&lt;=E229,enddate&gt;=E229),1,0)</f>
        <v>0</v>
      </c>
      <c r="H229" s="120" t="str">
        <f aca="false">+IF($G229=0,"",(+VLOOKUP($E229,[1]!FIXED_CHARTER_COST,HLOOKUP(vessel_choice,[1]!FIXED_CHARTER_COST,2,0)+1,0)*roundtrip_days)/vessel_mmbtu)</f>
        <v/>
      </c>
      <c r="I229" s="120" t="str">
        <f aca="false">+IF($G229=0,"",(+VLOOKUP($E229,[1]!OM_CHARTER_COST,HLOOKUP(vessel_choice,[1]!OM_CHARTER_COST,2,0)+1,0)*roundtrip_days)/vessel_mmbtu)</f>
        <v/>
      </c>
      <c r="J229" s="120" t="str">
        <f aca="false">IF($G229=0,"",(INDEX([1]!bunker_cost,MATCH(route,[1]!bunker_cost_route,0),MATCH(vessel_choice,[1]!bunker_cost_ship,0))/vessel_mmbtu))</f>
        <v/>
      </c>
      <c r="K229" s="120" t="str">
        <f aca="false">IF($G229=0,"",(+INDEX([1]!PORT_CHARGES,MATCH(source,[1]!PORTS,0),MATCH(vessel,[1]!PORT_CHARGE_SHIPS,0))/vessel_mmbtu))</f>
        <v/>
      </c>
      <c r="L229" s="120" t="str">
        <f aca="false">IF($G229=0,"",(+INDEX([1]!PORT_CHARGES,MATCH(destination,[1]!PORTS,0),MATCH(vessel,[1]!PORT_CHARGE_SHIPS,0))/vessel_mmbtu))</f>
        <v/>
      </c>
      <c r="M229" s="120" t="str">
        <f aca="false">IF($G229=0,"",IF(route_choice=1,INDEX([1]!PORT_CHARGES,MATCH(suez,[1]!PORTS,0),MATCH(vessel,[1]!PORT_CHARGE_SHIPS,0)),0)/vessel_mmbtu)</f>
        <v/>
      </c>
      <c r="N229" s="120" t="str">
        <f aca="false">+IF(G229=0,"",+HLOOKUP(vessel,[1]!other_cost,3,0))</f>
        <v/>
      </c>
      <c r="O229" s="121" t="str">
        <f aca="false">+IF(G229=0,"",SUM(H229:N229))</f>
        <v/>
      </c>
      <c r="P229" s="88"/>
      <c r="Q229" s="90"/>
    </row>
    <row r="230" customFormat="false" ht="12.75" hidden="false" customHeight="false" outlineLevel="0" collapsed="false">
      <c r="E230" s="117" t="n">
        <f aca="false">+DATE(YEAR(E229),MONTH(E229)+1,1)</f>
        <v>52628</v>
      </c>
      <c r="F230" s="118" t="e">
        <f aca="false">+VLOOKUP(E230,[1]!curvecalc,3,0)</f>
        <v>#N/A</v>
      </c>
      <c r="G230" s="119" t="n">
        <f aca="false">+IF(AND(startdate&lt;=E230,enddate&gt;=E230),1,0)</f>
        <v>0</v>
      </c>
      <c r="H230" s="120" t="str">
        <f aca="false">+IF($G230=0,"",(+VLOOKUP($E230,[1]!FIXED_CHARTER_COST,HLOOKUP(vessel_choice,[1]!FIXED_CHARTER_COST,2,0)+1,0)*roundtrip_days)/vessel_mmbtu)</f>
        <v/>
      </c>
      <c r="I230" s="120" t="str">
        <f aca="false">+IF($G230=0,"",(+VLOOKUP($E230,[1]!OM_CHARTER_COST,HLOOKUP(vessel_choice,[1]!OM_CHARTER_COST,2,0)+1,0)*roundtrip_days)/vessel_mmbtu)</f>
        <v/>
      </c>
      <c r="J230" s="120" t="str">
        <f aca="false">IF($G230=0,"",(INDEX([1]!bunker_cost,MATCH(route,[1]!bunker_cost_route,0),MATCH(vessel_choice,[1]!bunker_cost_ship,0))/vessel_mmbtu))</f>
        <v/>
      </c>
      <c r="K230" s="120" t="str">
        <f aca="false">IF($G230=0,"",(+INDEX([1]!PORT_CHARGES,MATCH(source,[1]!PORTS,0),MATCH(vessel,[1]!PORT_CHARGE_SHIPS,0))/vessel_mmbtu))</f>
        <v/>
      </c>
      <c r="L230" s="120" t="str">
        <f aca="false">IF($G230=0,"",(+INDEX([1]!PORT_CHARGES,MATCH(destination,[1]!PORTS,0),MATCH(vessel,[1]!PORT_CHARGE_SHIPS,0))/vessel_mmbtu))</f>
        <v/>
      </c>
      <c r="M230" s="120" t="str">
        <f aca="false">IF($G230=0,"",IF(route_choice=1,INDEX([1]!PORT_CHARGES,MATCH(suez,[1]!PORTS,0),MATCH(vessel,[1]!PORT_CHARGE_SHIPS,0)),0)/vessel_mmbtu)</f>
        <v/>
      </c>
      <c r="N230" s="120" t="str">
        <f aca="false">+IF(G230=0,"",+HLOOKUP(vessel,[1]!other_cost,3,0))</f>
        <v/>
      </c>
      <c r="O230" s="121" t="str">
        <f aca="false">+IF(G230=0,"",SUM(H230:N230))</f>
        <v/>
      </c>
      <c r="P230" s="88"/>
      <c r="Q230" s="90"/>
    </row>
    <row r="231" customFormat="false" ht="12.75" hidden="false" customHeight="false" outlineLevel="0" collapsed="false">
      <c r="E231" s="117" t="n">
        <f aca="false">+DATE(YEAR(E230),MONTH(E230)+1,1)</f>
        <v>52657</v>
      </c>
      <c r="F231" s="118" t="e">
        <f aca="false">+VLOOKUP(E231,[1]!curvecalc,3,0)</f>
        <v>#N/A</v>
      </c>
      <c r="G231" s="119" t="n">
        <f aca="false">+IF(AND(startdate&lt;=E231,enddate&gt;=E231),1,0)</f>
        <v>0</v>
      </c>
      <c r="H231" s="120" t="str">
        <f aca="false">+IF($G231=0,"",(+VLOOKUP($E231,[1]!FIXED_CHARTER_COST,HLOOKUP(vessel_choice,[1]!FIXED_CHARTER_COST,2,0)+1,0)*roundtrip_days)/vessel_mmbtu)</f>
        <v/>
      </c>
      <c r="I231" s="120" t="str">
        <f aca="false">+IF($G231=0,"",(+VLOOKUP($E231,[1]!OM_CHARTER_COST,HLOOKUP(vessel_choice,[1]!OM_CHARTER_COST,2,0)+1,0)*roundtrip_days)/vessel_mmbtu)</f>
        <v/>
      </c>
      <c r="J231" s="120" t="str">
        <f aca="false">IF($G231=0,"",(INDEX([1]!bunker_cost,MATCH(route,[1]!bunker_cost_route,0),MATCH(vessel_choice,[1]!bunker_cost_ship,0))/vessel_mmbtu))</f>
        <v/>
      </c>
      <c r="K231" s="120" t="str">
        <f aca="false">IF($G231=0,"",(+INDEX([1]!PORT_CHARGES,MATCH(source,[1]!PORTS,0),MATCH(vessel,[1]!PORT_CHARGE_SHIPS,0))/vessel_mmbtu))</f>
        <v/>
      </c>
      <c r="L231" s="120" t="str">
        <f aca="false">IF($G231=0,"",(+INDEX([1]!PORT_CHARGES,MATCH(destination,[1]!PORTS,0),MATCH(vessel,[1]!PORT_CHARGE_SHIPS,0))/vessel_mmbtu))</f>
        <v/>
      </c>
      <c r="M231" s="120" t="str">
        <f aca="false">IF($G231=0,"",IF(route_choice=1,INDEX([1]!PORT_CHARGES,MATCH(suez,[1]!PORTS,0),MATCH(vessel,[1]!PORT_CHARGE_SHIPS,0)),0)/vessel_mmbtu)</f>
        <v/>
      </c>
      <c r="N231" s="120" t="str">
        <f aca="false">+IF(G231=0,"",+HLOOKUP(vessel,[1]!other_cost,3,0))</f>
        <v/>
      </c>
      <c r="O231" s="121" t="str">
        <f aca="false">+IF(G231=0,"",SUM(H231:N231))</f>
        <v/>
      </c>
      <c r="P231" s="88"/>
      <c r="Q231" s="90"/>
    </row>
    <row r="232" customFormat="false" ht="12.75" hidden="false" customHeight="false" outlineLevel="0" collapsed="false">
      <c r="E232" s="117" t="n">
        <f aca="false">+DATE(YEAR(E231),MONTH(E231)+1,1)</f>
        <v>52688</v>
      </c>
      <c r="F232" s="118" t="e">
        <f aca="false">+VLOOKUP(E232,[1]!curvecalc,3,0)</f>
        <v>#N/A</v>
      </c>
      <c r="G232" s="119" t="n">
        <f aca="false">+IF(AND(startdate&lt;=E232,enddate&gt;=E232),1,0)</f>
        <v>0</v>
      </c>
      <c r="H232" s="120" t="str">
        <f aca="false">+IF($G232=0,"",(+VLOOKUP($E232,[1]!FIXED_CHARTER_COST,HLOOKUP(vessel_choice,[1]!FIXED_CHARTER_COST,2,0)+1,0)*roundtrip_days)/vessel_mmbtu)</f>
        <v/>
      </c>
      <c r="I232" s="120" t="str">
        <f aca="false">+IF($G232=0,"",(+VLOOKUP($E232,[1]!OM_CHARTER_COST,HLOOKUP(vessel_choice,[1]!OM_CHARTER_COST,2,0)+1,0)*roundtrip_days)/vessel_mmbtu)</f>
        <v/>
      </c>
      <c r="J232" s="120" t="str">
        <f aca="false">IF($G232=0,"",(INDEX([1]!bunker_cost,MATCH(route,[1]!bunker_cost_route,0),MATCH(vessel_choice,[1]!bunker_cost_ship,0))/vessel_mmbtu))</f>
        <v/>
      </c>
      <c r="K232" s="120" t="str">
        <f aca="false">IF($G232=0,"",(+INDEX([1]!PORT_CHARGES,MATCH(source,[1]!PORTS,0),MATCH(vessel,[1]!PORT_CHARGE_SHIPS,0))/vessel_mmbtu))</f>
        <v/>
      </c>
      <c r="L232" s="120" t="str">
        <f aca="false">IF($G232=0,"",(+INDEX([1]!PORT_CHARGES,MATCH(destination,[1]!PORTS,0),MATCH(vessel,[1]!PORT_CHARGE_SHIPS,0))/vessel_mmbtu))</f>
        <v/>
      </c>
      <c r="M232" s="120" t="str">
        <f aca="false">IF($G232=0,"",IF(route_choice=1,INDEX([1]!PORT_CHARGES,MATCH(suez,[1]!PORTS,0),MATCH(vessel,[1]!PORT_CHARGE_SHIPS,0)),0)/vessel_mmbtu)</f>
        <v/>
      </c>
      <c r="N232" s="120" t="str">
        <f aca="false">+IF(G232=0,"",+HLOOKUP(vessel,[1]!other_cost,3,0))</f>
        <v/>
      </c>
      <c r="O232" s="121" t="str">
        <f aca="false">+IF(G232=0,"",SUM(H232:N232))</f>
        <v/>
      </c>
      <c r="P232" s="88"/>
      <c r="Q232" s="90"/>
    </row>
    <row r="233" customFormat="false" ht="12.75" hidden="false" customHeight="false" outlineLevel="0" collapsed="false">
      <c r="E233" s="117" t="n">
        <f aca="false">+DATE(YEAR(E232),MONTH(E232)+1,1)</f>
        <v>52718</v>
      </c>
      <c r="F233" s="118" t="e">
        <f aca="false">+VLOOKUP(E233,[1]!curvecalc,3,0)</f>
        <v>#N/A</v>
      </c>
      <c r="G233" s="119" t="n">
        <f aca="false">+IF(AND(startdate&lt;=E233,enddate&gt;=E233),1,0)</f>
        <v>0</v>
      </c>
      <c r="H233" s="120" t="str">
        <f aca="false">+IF($G233=0,"",(+VLOOKUP($E233,[1]!FIXED_CHARTER_COST,HLOOKUP(vessel_choice,[1]!FIXED_CHARTER_COST,2,0)+1,0)*roundtrip_days)/vessel_mmbtu)</f>
        <v/>
      </c>
      <c r="I233" s="120" t="str">
        <f aca="false">+IF($G233=0,"",(+VLOOKUP($E233,[1]!OM_CHARTER_COST,HLOOKUP(vessel_choice,[1]!OM_CHARTER_COST,2,0)+1,0)*roundtrip_days)/vessel_mmbtu)</f>
        <v/>
      </c>
      <c r="J233" s="120" t="str">
        <f aca="false">IF($G233=0,"",(INDEX([1]!bunker_cost,MATCH(route,[1]!bunker_cost_route,0),MATCH(vessel_choice,[1]!bunker_cost_ship,0))/vessel_mmbtu))</f>
        <v/>
      </c>
      <c r="K233" s="120" t="str">
        <f aca="false">IF($G233=0,"",(+INDEX([1]!PORT_CHARGES,MATCH(source,[1]!PORTS,0),MATCH(vessel,[1]!PORT_CHARGE_SHIPS,0))/vessel_mmbtu))</f>
        <v/>
      </c>
      <c r="L233" s="120" t="str">
        <f aca="false">IF($G233=0,"",(+INDEX([1]!PORT_CHARGES,MATCH(destination,[1]!PORTS,0),MATCH(vessel,[1]!PORT_CHARGE_SHIPS,0))/vessel_mmbtu))</f>
        <v/>
      </c>
      <c r="M233" s="120" t="str">
        <f aca="false">IF($G233=0,"",IF(route_choice=1,INDEX([1]!PORT_CHARGES,MATCH(suez,[1]!PORTS,0),MATCH(vessel,[1]!PORT_CHARGE_SHIPS,0)),0)/vessel_mmbtu)</f>
        <v/>
      </c>
      <c r="N233" s="120" t="str">
        <f aca="false">+IF(G233=0,"",+HLOOKUP(vessel,[1]!other_cost,3,0))</f>
        <v/>
      </c>
      <c r="O233" s="121" t="str">
        <f aca="false">+IF(G233=0,"",SUM(H233:N233))</f>
        <v/>
      </c>
      <c r="P233" s="88"/>
      <c r="Q233" s="90"/>
    </row>
    <row r="234" customFormat="false" ht="12.75" hidden="false" customHeight="false" outlineLevel="0" collapsed="false">
      <c r="E234" s="117" t="n">
        <f aca="false">+DATE(YEAR(E233),MONTH(E233)+1,1)</f>
        <v>52749</v>
      </c>
      <c r="F234" s="118" t="e">
        <f aca="false">+VLOOKUP(E234,[1]!curvecalc,3,0)</f>
        <v>#N/A</v>
      </c>
      <c r="G234" s="119" t="n">
        <f aca="false">+IF(AND(startdate&lt;=E234,enddate&gt;=E234),1,0)</f>
        <v>0</v>
      </c>
      <c r="H234" s="120" t="str">
        <f aca="false">+IF($G234=0,"",(+VLOOKUP($E234,[1]!FIXED_CHARTER_COST,HLOOKUP(vessel_choice,[1]!FIXED_CHARTER_COST,2,0)+1,0)*roundtrip_days)/vessel_mmbtu)</f>
        <v/>
      </c>
      <c r="I234" s="120" t="str">
        <f aca="false">+IF($G234=0,"",(+VLOOKUP($E234,[1]!OM_CHARTER_COST,HLOOKUP(vessel_choice,[1]!OM_CHARTER_COST,2,0)+1,0)*roundtrip_days)/vessel_mmbtu)</f>
        <v/>
      </c>
      <c r="J234" s="120" t="str">
        <f aca="false">IF($G234=0,"",(INDEX([1]!bunker_cost,MATCH(route,[1]!bunker_cost_route,0),MATCH(vessel_choice,[1]!bunker_cost_ship,0))/vessel_mmbtu))</f>
        <v/>
      </c>
      <c r="K234" s="120" t="str">
        <f aca="false">IF($G234=0,"",(+INDEX([1]!PORT_CHARGES,MATCH(source,[1]!PORTS,0),MATCH(vessel,[1]!PORT_CHARGE_SHIPS,0))/vessel_mmbtu))</f>
        <v/>
      </c>
      <c r="L234" s="120" t="str">
        <f aca="false">IF($G234=0,"",(+INDEX([1]!PORT_CHARGES,MATCH(destination,[1]!PORTS,0),MATCH(vessel,[1]!PORT_CHARGE_SHIPS,0))/vessel_mmbtu))</f>
        <v/>
      </c>
      <c r="M234" s="120" t="str">
        <f aca="false">IF($G234=0,"",IF(route_choice=1,INDEX([1]!PORT_CHARGES,MATCH(suez,[1]!PORTS,0),MATCH(vessel,[1]!PORT_CHARGE_SHIPS,0)),0)/vessel_mmbtu)</f>
        <v/>
      </c>
      <c r="N234" s="120" t="str">
        <f aca="false">+IF(G234=0,"",+HLOOKUP(vessel,[1]!other_cost,3,0))</f>
        <v/>
      </c>
      <c r="O234" s="121" t="str">
        <f aca="false">+IF(G234=0,"",SUM(H234:N234))</f>
        <v/>
      </c>
      <c r="P234" s="88"/>
      <c r="Q234" s="90"/>
    </row>
    <row r="235" customFormat="false" ht="12.75" hidden="false" customHeight="false" outlineLevel="0" collapsed="false">
      <c r="E235" s="117" t="n">
        <f aca="false">+DATE(YEAR(E234),MONTH(E234)+1,1)</f>
        <v>52779</v>
      </c>
      <c r="F235" s="118" t="e">
        <f aca="false">+VLOOKUP(E235,[1]!curvecalc,3,0)</f>
        <v>#N/A</v>
      </c>
      <c r="G235" s="119" t="n">
        <f aca="false">+IF(AND(startdate&lt;=E235,enddate&gt;=E235),1,0)</f>
        <v>0</v>
      </c>
      <c r="H235" s="120" t="str">
        <f aca="false">+IF($G235=0,"",(+VLOOKUP($E235,[1]!FIXED_CHARTER_COST,HLOOKUP(vessel_choice,[1]!FIXED_CHARTER_COST,2,0)+1,0)*roundtrip_days)/vessel_mmbtu)</f>
        <v/>
      </c>
      <c r="I235" s="120" t="str">
        <f aca="false">+IF($G235=0,"",(+VLOOKUP($E235,[1]!OM_CHARTER_COST,HLOOKUP(vessel_choice,[1]!OM_CHARTER_COST,2,0)+1,0)*roundtrip_days)/vessel_mmbtu)</f>
        <v/>
      </c>
      <c r="J235" s="120" t="str">
        <f aca="false">IF($G235=0,"",(INDEX([1]!bunker_cost,MATCH(route,[1]!bunker_cost_route,0),MATCH(vessel_choice,[1]!bunker_cost_ship,0))/vessel_mmbtu))</f>
        <v/>
      </c>
      <c r="K235" s="120" t="str">
        <f aca="false">IF($G235=0,"",(+INDEX([1]!PORT_CHARGES,MATCH(source,[1]!PORTS,0),MATCH(vessel,[1]!PORT_CHARGE_SHIPS,0))/vessel_mmbtu))</f>
        <v/>
      </c>
      <c r="L235" s="120" t="str">
        <f aca="false">IF($G235=0,"",(+INDEX([1]!PORT_CHARGES,MATCH(destination,[1]!PORTS,0),MATCH(vessel,[1]!PORT_CHARGE_SHIPS,0))/vessel_mmbtu))</f>
        <v/>
      </c>
      <c r="M235" s="120" t="str">
        <f aca="false">IF($G235=0,"",IF(route_choice=1,INDEX([1]!PORT_CHARGES,MATCH(suez,[1]!PORTS,0),MATCH(vessel,[1]!PORT_CHARGE_SHIPS,0)),0)/vessel_mmbtu)</f>
        <v/>
      </c>
      <c r="N235" s="120" t="str">
        <f aca="false">+IF(G235=0,"",+HLOOKUP(vessel,[1]!other_cost,3,0))</f>
        <v/>
      </c>
      <c r="O235" s="121" t="str">
        <f aca="false">+IF(G235=0,"",SUM(H235:N235))</f>
        <v/>
      </c>
      <c r="P235" s="88"/>
      <c r="Q235" s="90"/>
    </row>
    <row r="236" customFormat="false" ht="12.75" hidden="false" customHeight="false" outlineLevel="0" collapsed="false">
      <c r="E236" s="117" t="n">
        <f aca="false">+DATE(YEAR(E235),MONTH(E235)+1,1)</f>
        <v>52810</v>
      </c>
      <c r="F236" s="118" t="e">
        <f aca="false">+VLOOKUP(E236,[1]!curvecalc,3,0)</f>
        <v>#N/A</v>
      </c>
      <c r="G236" s="119" t="n">
        <f aca="false">+IF(AND(startdate&lt;=E236,enddate&gt;=E236),1,0)</f>
        <v>0</v>
      </c>
      <c r="H236" s="120" t="str">
        <f aca="false">+IF($G236=0,"",(+VLOOKUP($E236,[1]!FIXED_CHARTER_COST,HLOOKUP(vessel_choice,[1]!FIXED_CHARTER_COST,2,0)+1,0)*roundtrip_days)/vessel_mmbtu)</f>
        <v/>
      </c>
      <c r="I236" s="120" t="str">
        <f aca="false">+IF($G236=0,"",(+VLOOKUP($E236,[1]!OM_CHARTER_COST,HLOOKUP(vessel_choice,[1]!OM_CHARTER_COST,2,0)+1,0)*roundtrip_days)/vessel_mmbtu)</f>
        <v/>
      </c>
      <c r="J236" s="120" t="str">
        <f aca="false">IF($G236=0,"",(INDEX([1]!bunker_cost,MATCH(route,[1]!bunker_cost_route,0),MATCH(vessel_choice,[1]!bunker_cost_ship,0))/vessel_mmbtu))</f>
        <v/>
      </c>
      <c r="K236" s="120" t="str">
        <f aca="false">IF($G236=0,"",(+INDEX([1]!PORT_CHARGES,MATCH(source,[1]!PORTS,0),MATCH(vessel,[1]!PORT_CHARGE_SHIPS,0))/vessel_mmbtu))</f>
        <v/>
      </c>
      <c r="L236" s="120" t="str">
        <f aca="false">IF($G236=0,"",(+INDEX([1]!PORT_CHARGES,MATCH(destination,[1]!PORTS,0),MATCH(vessel,[1]!PORT_CHARGE_SHIPS,0))/vessel_mmbtu))</f>
        <v/>
      </c>
      <c r="M236" s="120" t="str">
        <f aca="false">IF($G236=0,"",IF(route_choice=1,INDEX([1]!PORT_CHARGES,MATCH(suez,[1]!PORTS,0),MATCH(vessel,[1]!PORT_CHARGE_SHIPS,0)),0)/vessel_mmbtu)</f>
        <v/>
      </c>
      <c r="N236" s="120" t="str">
        <f aca="false">+IF(G236=0,"",+HLOOKUP(vessel,[1]!other_cost,3,0))</f>
        <v/>
      </c>
      <c r="O236" s="121" t="str">
        <f aca="false">+IF(G236=0,"",SUM(H236:N236))</f>
        <v/>
      </c>
      <c r="P236" s="88"/>
      <c r="Q236" s="90"/>
    </row>
    <row r="237" customFormat="false" ht="12.75" hidden="false" customHeight="false" outlineLevel="0" collapsed="false">
      <c r="E237" s="117" t="n">
        <f aca="false">+DATE(YEAR(E236),MONTH(E236)+1,1)</f>
        <v>52841</v>
      </c>
      <c r="F237" s="118" t="e">
        <f aca="false">+VLOOKUP(E237,[1]!curvecalc,3,0)</f>
        <v>#N/A</v>
      </c>
      <c r="G237" s="119" t="n">
        <f aca="false">+IF(AND(startdate&lt;=E237,enddate&gt;=E237),1,0)</f>
        <v>0</v>
      </c>
      <c r="H237" s="120" t="str">
        <f aca="false">+IF($G237=0,"",(+VLOOKUP($E237,[1]!FIXED_CHARTER_COST,HLOOKUP(vessel_choice,[1]!FIXED_CHARTER_COST,2,0)+1,0)*roundtrip_days)/vessel_mmbtu)</f>
        <v/>
      </c>
      <c r="I237" s="120" t="str">
        <f aca="false">+IF($G237=0,"",(+VLOOKUP($E237,[1]!OM_CHARTER_COST,HLOOKUP(vessel_choice,[1]!OM_CHARTER_COST,2,0)+1,0)*roundtrip_days)/vessel_mmbtu)</f>
        <v/>
      </c>
      <c r="J237" s="120" t="str">
        <f aca="false">IF($G237=0,"",(INDEX([1]!bunker_cost,MATCH(route,[1]!bunker_cost_route,0),MATCH(vessel_choice,[1]!bunker_cost_ship,0))/vessel_mmbtu))</f>
        <v/>
      </c>
      <c r="K237" s="120" t="str">
        <f aca="false">IF($G237=0,"",(+INDEX([1]!PORT_CHARGES,MATCH(source,[1]!PORTS,0),MATCH(vessel,[1]!PORT_CHARGE_SHIPS,0))/vessel_mmbtu))</f>
        <v/>
      </c>
      <c r="L237" s="120" t="str">
        <f aca="false">IF($G237=0,"",(+INDEX([1]!PORT_CHARGES,MATCH(destination,[1]!PORTS,0),MATCH(vessel,[1]!PORT_CHARGE_SHIPS,0))/vessel_mmbtu))</f>
        <v/>
      </c>
      <c r="M237" s="120" t="str">
        <f aca="false">IF($G237=0,"",IF(route_choice=1,INDEX([1]!PORT_CHARGES,MATCH(suez,[1]!PORTS,0),MATCH(vessel,[1]!PORT_CHARGE_SHIPS,0)),0)/vessel_mmbtu)</f>
        <v/>
      </c>
      <c r="N237" s="120" t="str">
        <f aca="false">+IF(G237=0,"",+HLOOKUP(vessel,[1]!other_cost,3,0))</f>
        <v/>
      </c>
      <c r="O237" s="121" t="str">
        <f aca="false">+IF(G237=0,"",SUM(H237:N237))</f>
        <v/>
      </c>
      <c r="P237" s="88"/>
      <c r="Q237" s="90"/>
    </row>
    <row r="238" customFormat="false" ht="12.75" hidden="false" customHeight="false" outlineLevel="0" collapsed="false">
      <c r="E238" s="117" t="n">
        <f aca="false">+DATE(YEAR(E237),MONTH(E237)+1,1)</f>
        <v>52871</v>
      </c>
      <c r="F238" s="118" t="e">
        <f aca="false">+VLOOKUP(E238,[1]!curvecalc,3,0)</f>
        <v>#N/A</v>
      </c>
      <c r="G238" s="119" t="n">
        <f aca="false">+IF(AND(startdate&lt;=E238,enddate&gt;=E238),1,0)</f>
        <v>0</v>
      </c>
      <c r="H238" s="120" t="str">
        <f aca="false">+IF($G238=0,"",(+VLOOKUP($E238,[1]!FIXED_CHARTER_COST,HLOOKUP(vessel_choice,[1]!FIXED_CHARTER_COST,2,0)+1,0)*roundtrip_days)/vessel_mmbtu)</f>
        <v/>
      </c>
      <c r="I238" s="120" t="str">
        <f aca="false">+IF($G238=0,"",(+VLOOKUP($E238,[1]!OM_CHARTER_COST,HLOOKUP(vessel_choice,[1]!OM_CHARTER_COST,2,0)+1,0)*roundtrip_days)/vessel_mmbtu)</f>
        <v/>
      </c>
      <c r="J238" s="120" t="str">
        <f aca="false">IF($G238=0,"",(INDEX([1]!bunker_cost,MATCH(route,[1]!bunker_cost_route,0),MATCH(vessel_choice,[1]!bunker_cost_ship,0))/vessel_mmbtu))</f>
        <v/>
      </c>
      <c r="K238" s="120" t="str">
        <f aca="false">IF($G238=0,"",(+INDEX([1]!PORT_CHARGES,MATCH(source,[1]!PORTS,0),MATCH(vessel,[1]!PORT_CHARGE_SHIPS,0))/vessel_mmbtu))</f>
        <v/>
      </c>
      <c r="L238" s="120" t="str">
        <f aca="false">IF($G238=0,"",(+INDEX([1]!PORT_CHARGES,MATCH(destination,[1]!PORTS,0),MATCH(vessel,[1]!PORT_CHARGE_SHIPS,0))/vessel_mmbtu))</f>
        <v/>
      </c>
      <c r="M238" s="120" t="str">
        <f aca="false">IF($G238=0,"",IF(route_choice=1,INDEX([1]!PORT_CHARGES,MATCH(suez,[1]!PORTS,0),MATCH(vessel,[1]!PORT_CHARGE_SHIPS,0)),0)/vessel_mmbtu)</f>
        <v/>
      </c>
      <c r="N238" s="120" t="str">
        <f aca="false">+IF(G238=0,"",+HLOOKUP(vessel,[1]!other_cost,3,0))</f>
        <v/>
      </c>
      <c r="O238" s="121" t="str">
        <f aca="false">+IF(G238=0,"",SUM(H238:N238))</f>
        <v/>
      </c>
      <c r="P238" s="88"/>
      <c r="Q238" s="90"/>
    </row>
    <row r="239" customFormat="false" ht="12.75" hidden="false" customHeight="false" outlineLevel="0" collapsed="false">
      <c r="E239" s="117" t="n">
        <f aca="false">+DATE(YEAR(E238),MONTH(E238)+1,1)</f>
        <v>52902</v>
      </c>
      <c r="F239" s="118" t="e">
        <f aca="false">+VLOOKUP(E239,[1]!curvecalc,3,0)</f>
        <v>#N/A</v>
      </c>
      <c r="G239" s="119" t="n">
        <f aca="false">+IF(AND(startdate&lt;=E239,enddate&gt;=E239),1,0)</f>
        <v>0</v>
      </c>
      <c r="H239" s="120" t="str">
        <f aca="false">+IF($G239=0,"",(+VLOOKUP($E239,[1]!FIXED_CHARTER_COST,HLOOKUP(vessel_choice,[1]!FIXED_CHARTER_COST,2,0)+1,0)*roundtrip_days)/vessel_mmbtu)</f>
        <v/>
      </c>
      <c r="I239" s="120" t="str">
        <f aca="false">+IF($G239=0,"",(+VLOOKUP($E239,[1]!OM_CHARTER_COST,HLOOKUP(vessel_choice,[1]!OM_CHARTER_COST,2,0)+1,0)*roundtrip_days)/vessel_mmbtu)</f>
        <v/>
      </c>
      <c r="J239" s="120" t="str">
        <f aca="false">IF($G239=0,"",(INDEX([1]!bunker_cost,MATCH(route,[1]!bunker_cost_route,0),MATCH(vessel_choice,[1]!bunker_cost_ship,0))/vessel_mmbtu))</f>
        <v/>
      </c>
      <c r="K239" s="120" t="str">
        <f aca="false">IF($G239=0,"",(+INDEX([1]!PORT_CHARGES,MATCH(source,[1]!PORTS,0),MATCH(vessel,[1]!PORT_CHARGE_SHIPS,0))/vessel_mmbtu))</f>
        <v/>
      </c>
      <c r="L239" s="120" t="str">
        <f aca="false">IF($G239=0,"",(+INDEX([1]!PORT_CHARGES,MATCH(destination,[1]!PORTS,0),MATCH(vessel,[1]!PORT_CHARGE_SHIPS,0))/vessel_mmbtu))</f>
        <v/>
      </c>
      <c r="M239" s="120" t="str">
        <f aca="false">IF($G239=0,"",IF(route_choice=1,INDEX([1]!PORT_CHARGES,MATCH(suez,[1]!PORTS,0),MATCH(vessel,[1]!PORT_CHARGE_SHIPS,0)),0)/vessel_mmbtu)</f>
        <v/>
      </c>
      <c r="N239" s="120" t="str">
        <f aca="false">+IF(G239=0,"",+HLOOKUP(vessel,[1]!other_cost,3,0))</f>
        <v/>
      </c>
      <c r="O239" s="121" t="str">
        <f aca="false">+IF(G239=0,"",SUM(H239:N239))</f>
        <v/>
      </c>
      <c r="P239" s="88"/>
      <c r="Q239" s="90"/>
    </row>
    <row r="240" customFormat="false" ht="12.75" hidden="false" customHeight="false" outlineLevel="0" collapsed="false">
      <c r="E240" s="117" t="n">
        <f aca="false">+DATE(YEAR(E239),MONTH(E239)+1,1)</f>
        <v>52932</v>
      </c>
      <c r="F240" s="118" t="e">
        <f aca="false">+VLOOKUP(E240,[1]!curvecalc,3,0)</f>
        <v>#N/A</v>
      </c>
      <c r="G240" s="119" t="n">
        <f aca="false">+IF(AND(startdate&lt;=E240,enddate&gt;=E240),1,0)</f>
        <v>0</v>
      </c>
      <c r="H240" s="120" t="str">
        <f aca="false">+IF($G240=0,"",(+VLOOKUP($E240,[1]!FIXED_CHARTER_COST,HLOOKUP(vessel_choice,[1]!FIXED_CHARTER_COST,2,0)+1,0)*roundtrip_days)/vessel_mmbtu)</f>
        <v/>
      </c>
      <c r="I240" s="120" t="str">
        <f aca="false">+IF($G240=0,"",(+VLOOKUP($E240,[1]!OM_CHARTER_COST,HLOOKUP(vessel_choice,[1]!OM_CHARTER_COST,2,0)+1,0)*roundtrip_days)/vessel_mmbtu)</f>
        <v/>
      </c>
      <c r="J240" s="120" t="str">
        <f aca="false">IF($G240=0,"",(INDEX([1]!bunker_cost,MATCH(route,[1]!bunker_cost_route,0),MATCH(vessel_choice,[1]!bunker_cost_ship,0))/vessel_mmbtu))</f>
        <v/>
      </c>
      <c r="K240" s="120" t="str">
        <f aca="false">IF($G240=0,"",(+INDEX([1]!PORT_CHARGES,MATCH(source,[1]!PORTS,0),MATCH(vessel,[1]!PORT_CHARGE_SHIPS,0))/vessel_mmbtu))</f>
        <v/>
      </c>
      <c r="L240" s="120" t="str">
        <f aca="false">IF($G240=0,"",(+INDEX([1]!PORT_CHARGES,MATCH(destination,[1]!PORTS,0),MATCH(vessel,[1]!PORT_CHARGE_SHIPS,0))/vessel_mmbtu))</f>
        <v/>
      </c>
      <c r="M240" s="120" t="str">
        <f aca="false">IF($G240=0,"",IF(route_choice=1,INDEX([1]!PORT_CHARGES,MATCH(suez,[1]!PORTS,0),MATCH(vessel,[1]!PORT_CHARGE_SHIPS,0)),0)/vessel_mmbtu)</f>
        <v/>
      </c>
      <c r="N240" s="120" t="str">
        <f aca="false">+IF(G240=0,"",+HLOOKUP(vessel,[1]!other_cost,3,0))</f>
        <v/>
      </c>
      <c r="O240" s="121" t="str">
        <f aca="false">+IF(G240=0,"",SUM(H240:N240))</f>
        <v/>
      </c>
      <c r="P240" s="88"/>
      <c r="Q240" s="90"/>
    </row>
    <row r="241" customFormat="false" ht="12.75" hidden="false" customHeight="false" outlineLevel="0" collapsed="false">
      <c r="E241" s="117" t="n">
        <f aca="false">+DATE(YEAR(E240),MONTH(E240)+1,1)</f>
        <v>52963</v>
      </c>
      <c r="F241" s="118" t="e">
        <f aca="false">+VLOOKUP(E241,[1]!curvecalc,3,0)</f>
        <v>#N/A</v>
      </c>
      <c r="G241" s="119" t="n">
        <f aca="false">+IF(AND(startdate&lt;=E241,enddate&gt;=E241),1,0)</f>
        <v>0</v>
      </c>
      <c r="H241" s="120" t="str">
        <f aca="false">+IF($G241=0,"",(+VLOOKUP($E241,[1]!FIXED_CHARTER_COST,HLOOKUP(vessel_choice,[1]!FIXED_CHARTER_COST,2,0)+1,0)*roundtrip_days)/vessel_mmbtu)</f>
        <v/>
      </c>
      <c r="I241" s="120" t="str">
        <f aca="false">+IF($G241=0,"",(+VLOOKUP($E241,[1]!OM_CHARTER_COST,HLOOKUP(vessel_choice,[1]!OM_CHARTER_COST,2,0)+1,0)*roundtrip_days)/vessel_mmbtu)</f>
        <v/>
      </c>
      <c r="J241" s="120" t="str">
        <f aca="false">IF($G241=0,"",(INDEX([1]!bunker_cost,MATCH(route,[1]!bunker_cost_route,0),MATCH(vessel_choice,[1]!bunker_cost_ship,0))/vessel_mmbtu))</f>
        <v/>
      </c>
      <c r="K241" s="120" t="str">
        <f aca="false">IF($G241=0,"",(+INDEX([1]!PORT_CHARGES,MATCH(source,[1]!PORTS,0),MATCH(vessel,[1]!PORT_CHARGE_SHIPS,0))/vessel_mmbtu))</f>
        <v/>
      </c>
      <c r="L241" s="120" t="str">
        <f aca="false">IF($G241=0,"",(+INDEX([1]!PORT_CHARGES,MATCH(destination,[1]!PORTS,0),MATCH(vessel,[1]!PORT_CHARGE_SHIPS,0))/vessel_mmbtu))</f>
        <v/>
      </c>
      <c r="M241" s="120" t="str">
        <f aca="false">IF($G241=0,"",IF(route_choice=1,INDEX([1]!PORT_CHARGES,MATCH(suez,[1]!PORTS,0),MATCH(vessel,[1]!PORT_CHARGE_SHIPS,0)),0)/vessel_mmbtu)</f>
        <v/>
      </c>
      <c r="N241" s="120" t="str">
        <f aca="false">+IF(G241=0,"",+HLOOKUP(vessel,[1]!other_cost,3,0))</f>
        <v/>
      </c>
      <c r="O241" s="121" t="str">
        <f aca="false">+IF(G241=0,"",SUM(H241:N241))</f>
        <v/>
      </c>
      <c r="P241" s="88"/>
      <c r="Q241" s="90"/>
    </row>
    <row r="242" customFormat="false" ht="12.75" hidden="false" customHeight="false" outlineLevel="0" collapsed="false">
      <c r="E242" s="117" t="n">
        <f aca="false">+DATE(YEAR(E241),MONTH(E241)+1,1)</f>
        <v>52994</v>
      </c>
      <c r="F242" s="118" t="e">
        <f aca="false">+VLOOKUP(E242,[1]!curvecalc,3,0)</f>
        <v>#N/A</v>
      </c>
      <c r="G242" s="119" t="n">
        <f aca="false">+IF(AND(startdate&lt;=E242,enddate&gt;=E242),1,0)</f>
        <v>0</v>
      </c>
      <c r="H242" s="120" t="str">
        <f aca="false">+IF($G242=0,"",(+VLOOKUP($E242,[1]!FIXED_CHARTER_COST,HLOOKUP(vessel_choice,[1]!FIXED_CHARTER_COST,2,0)+1,0)*roundtrip_days)/vessel_mmbtu)</f>
        <v/>
      </c>
      <c r="I242" s="120" t="str">
        <f aca="false">+IF($G242=0,"",(+VLOOKUP($E242,[1]!OM_CHARTER_COST,HLOOKUP(vessel_choice,[1]!OM_CHARTER_COST,2,0)+1,0)*roundtrip_days)/vessel_mmbtu)</f>
        <v/>
      </c>
      <c r="J242" s="120" t="str">
        <f aca="false">IF($G242=0,"",(INDEX([1]!bunker_cost,MATCH(route,[1]!bunker_cost_route,0),MATCH(vessel_choice,[1]!bunker_cost_ship,0))/vessel_mmbtu))</f>
        <v/>
      </c>
      <c r="K242" s="120" t="str">
        <f aca="false">IF($G242=0,"",(+INDEX([1]!PORT_CHARGES,MATCH(source,[1]!PORTS,0),MATCH(vessel,[1]!PORT_CHARGE_SHIPS,0))/vessel_mmbtu))</f>
        <v/>
      </c>
      <c r="L242" s="120" t="str">
        <f aca="false">IF($G242=0,"",(+INDEX([1]!PORT_CHARGES,MATCH(destination,[1]!PORTS,0),MATCH(vessel,[1]!PORT_CHARGE_SHIPS,0))/vessel_mmbtu))</f>
        <v/>
      </c>
      <c r="M242" s="120" t="str">
        <f aca="false">IF($G242=0,"",IF(route_choice=1,INDEX([1]!PORT_CHARGES,MATCH(suez,[1]!PORTS,0),MATCH(vessel,[1]!PORT_CHARGE_SHIPS,0)),0)/vessel_mmbtu)</f>
        <v/>
      </c>
      <c r="N242" s="120" t="str">
        <f aca="false">+IF(G242=0,"",+HLOOKUP(vessel,[1]!other_cost,3,0))</f>
        <v/>
      </c>
      <c r="O242" s="121" t="str">
        <f aca="false">+IF(G242=0,"",SUM(H242:N242))</f>
        <v/>
      </c>
      <c r="P242" s="88"/>
      <c r="Q242" s="90"/>
    </row>
    <row r="243" customFormat="false" ht="12.75" hidden="false" customHeight="false" outlineLevel="0" collapsed="false">
      <c r="E243" s="117" t="n">
        <f aca="false">+DATE(YEAR(E242),MONTH(E242)+1,1)</f>
        <v>53022</v>
      </c>
      <c r="F243" s="118" t="e">
        <f aca="false">+VLOOKUP(E243,[1]!curvecalc,3,0)</f>
        <v>#N/A</v>
      </c>
      <c r="G243" s="119" t="n">
        <f aca="false">+IF(AND(startdate&lt;=E243,enddate&gt;=E243),1,0)</f>
        <v>0</v>
      </c>
      <c r="H243" s="120" t="str">
        <f aca="false">+IF($G243=0,"",(+VLOOKUP($E243,[1]!FIXED_CHARTER_COST,HLOOKUP(vessel_choice,[1]!FIXED_CHARTER_COST,2,0)+1,0)*roundtrip_days)/vessel_mmbtu)</f>
        <v/>
      </c>
      <c r="I243" s="120" t="str">
        <f aca="false">+IF($G243=0,"",(+VLOOKUP($E243,[1]!OM_CHARTER_COST,HLOOKUP(vessel_choice,[1]!OM_CHARTER_COST,2,0)+1,0)*roundtrip_days)/vessel_mmbtu)</f>
        <v/>
      </c>
      <c r="J243" s="120" t="str">
        <f aca="false">IF($G243=0,"",(INDEX([1]!bunker_cost,MATCH(route,[1]!bunker_cost_route,0),MATCH(vessel_choice,[1]!bunker_cost_ship,0))/vessel_mmbtu))</f>
        <v/>
      </c>
      <c r="K243" s="120" t="str">
        <f aca="false">IF($G243=0,"",(+INDEX([1]!PORT_CHARGES,MATCH(source,[1]!PORTS,0),MATCH(vessel,[1]!PORT_CHARGE_SHIPS,0))/vessel_mmbtu))</f>
        <v/>
      </c>
      <c r="L243" s="120" t="str">
        <f aca="false">IF($G243=0,"",(+INDEX([1]!PORT_CHARGES,MATCH(destination,[1]!PORTS,0),MATCH(vessel,[1]!PORT_CHARGE_SHIPS,0))/vessel_mmbtu))</f>
        <v/>
      </c>
      <c r="M243" s="120" t="str">
        <f aca="false">IF($G243=0,"",IF(route_choice=1,INDEX([1]!PORT_CHARGES,MATCH(suez,[1]!PORTS,0),MATCH(vessel,[1]!PORT_CHARGE_SHIPS,0)),0)/vessel_mmbtu)</f>
        <v/>
      </c>
      <c r="N243" s="120" t="str">
        <f aca="false">+IF(G243=0,"",+HLOOKUP(vessel,[1]!other_cost,3,0))</f>
        <v/>
      </c>
      <c r="O243" s="121" t="str">
        <f aca="false">+IF(G243=0,"",SUM(H243:N243))</f>
        <v/>
      </c>
      <c r="P243" s="88"/>
      <c r="Q243" s="90"/>
    </row>
    <row r="244" customFormat="false" ht="12.75" hidden="false" customHeight="false" outlineLevel="0" collapsed="false">
      <c r="E244" s="117" t="n">
        <f aca="false">+DATE(YEAR(E243),MONTH(E243)+1,1)</f>
        <v>53053</v>
      </c>
      <c r="F244" s="118" t="e">
        <f aca="false">+VLOOKUP(E244,[1]!curvecalc,3,0)</f>
        <v>#N/A</v>
      </c>
      <c r="G244" s="119" t="n">
        <f aca="false">+IF(AND(startdate&lt;=E244,enddate&gt;=E244),1,0)</f>
        <v>0</v>
      </c>
      <c r="H244" s="120" t="str">
        <f aca="false">+IF($G244=0,"",(+VLOOKUP($E244,[1]!FIXED_CHARTER_COST,HLOOKUP(vessel_choice,[1]!FIXED_CHARTER_COST,2,0)+1,0)*roundtrip_days)/vessel_mmbtu)</f>
        <v/>
      </c>
      <c r="I244" s="120" t="str">
        <f aca="false">+IF($G244=0,"",(+VLOOKUP($E244,[1]!OM_CHARTER_COST,HLOOKUP(vessel_choice,[1]!OM_CHARTER_COST,2,0)+1,0)*roundtrip_days)/vessel_mmbtu)</f>
        <v/>
      </c>
      <c r="J244" s="120" t="str">
        <f aca="false">IF($G244=0,"",(INDEX([1]!bunker_cost,MATCH(route,[1]!bunker_cost_route,0),MATCH(vessel_choice,[1]!bunker_cost_ship,0))/vessel_mmbtu))</f>
        <v/>
      </c>
      <c r="K244" s="120" t="str">
        <f aca="false">IF($G244=0,"",(+INDEX([1]!PORT_CHARGES,MATCH(source,[1]!PORTS,0),MATCH(vessel,[1]!PORT_CHARGE_SHIPS,0))/vessel_mmbtu))</f>
        <v/>
      </c>
      <c r="L244" s="120" t="str">
        <f aca="false">IF($G244=0,"",(+INDEX([1]!PORT_CHARGES,MATCH(destination,[1]!PORTS,0),MATCH(vessel,[1]!PORT_CHARGE_SHIPS,0))/vessel_mmbtu))</f>
        <v/>
      </c>
      <c r="M244" s="120" t="str">
        <f aca="false">IF($G244=0,"",IF(route_choice=1,INDEX([1]!PORT_CHARGES,MATCH(suez,[1]!PORTS,0),MATCH(vessel,[1]!PORT_CHARGE_SHIPS,0)),0)/vessel_mmbtu)</f>
        <v/>
      </c>
      <c r="N244" s="120" t="str">
        <f aca="false">+IF(G244=0,"",+HLOOKUP(vessel,[1]!other_cost,3,0))</f>
        <v/>
      </c>
      <c r="O244" s="121" t="str">
        <f aca="false">+IF(G244=0,"",SUM(H244:N244))</f>
        <v/>
      </c>
      <c r="P244" s="88"/>
      <c r="Q244" s="90"/>
    </row>
    <row r="245" customFormat="false" ht="12.75" hidden="false" customHeight="false" outlineLevel="0" collapsed="false">
      <c r="E245" s="117" t="n">
        <f aca="false">+DATE(YEAR(E244),MONTH(E244)+1,1)</f>
        <v>53083</v>
      </c>
      <c r="F245" s="118" t="e">
        <f aca="false">+VLOOKUP(E245,[1]!curvecalc,3,0)</f>
        <v>#N/A</v>
      </c>
      <c r="G245" s="119" t="n">
        <f aca="false">+IF(AND(startdate&lt;=E245,enddate&gt;=E245),1,0)</f>
        <v>0</v>
      </c>
      <c r="H245" s="120" t="str">
        <f aca="false">+IF($G245=0,"",(+VLOOKUP($E245,[1]!FIXED_CHARTER_COST,HLOOKUP(vessel_choice,[1]!FIXED_CHARTER_COST,2,0)+1,0)*roundtrip_days)/vessel_mmbtu)</f>
        <v/>
      </c>
      <c r="I245" s="120" t="str">
        <f aca="false">+IF($G245=0,"",(+VLOOKUP($E245,[1]!OM_CHARTER_COST,HLOOKUP(vessel_choice,[1]!OM_CHARTER_COST,2,0)+1,0)*roundtrip_days)/vessel_mmbtu)</f>
        <v/>
      </c>
      <c r="J245" s="120" t="str">
        <f aca="false">IF($G245=0,"",(INDEX([1]!bunker_cost,MATCH(route,[1]!bunker_cost_route,0),MATCH(vessel_choice,[1]!bunker_cost_ship,0))/vessel_mmbtu))</f>
        <v/>
      </c>
      <c r="K245" s="120" t="str">
        <f aca="false">IF($G245=0,"",(+INDEX([1]!PORT_CHARGES,MATCH(source,[1]!PORTS,0),MATCH(vessel,[1]!PORT_CHARGE_SHIPS,0))/vessel_mmbtu))</f>
        <v/>
      </c>
      <c r="L245" s="120" t="str">
        <f aca="false">IF($G245=0,"",(+INDEX([1]!PORT_CHARGES,MATCH(destination,[1]!PORTS,0),MATCH(vessel,[1]!PORT_CHARGE_SHIPS,0))/vessel_mmbtu))</f>
        <v/>
      </c>
      <c r="M245" s="120" t="str">
        <f aca="false">IF($G245=0,"",IF(route_choice=1,INDEX([1]!PORT_CHARGES,MATCH(suez,[1]!PORTS,0),MATCH(vessel,[1]!PORT_CHARGE_SHIPS,0)),0)/vessel_mmbtu)</f>
        <v/>
      </c>
      <c r="N245" s="120" t="str">
        <f aca="false">+IF(G245=0,"",+HLOOKUP(vessel,[1]!other_cost,3,0))</f>
        <v/>
      </c>
      <c r="O245" s="121" t="str">
        <f aca="false">+IF(G245=0,"",SUM(H245:N245))</f>
        <v/>
      </c>
      <c r="P245" s="88"/>
      <c r="Q245" s="90"/>
    </row>
    <row r="246" customFormat="false" ht="12.75" hidden="false" customHeight="false" outlineLevel="0" collapsed="false">
      <c r="E246" s="117" t="n">
        <f aca="false">+DATE(YEAR(E245),MONTH(E245)+1,1)</f>
        <v>53114</v>
      </c>
      <c r="F246" s="118" t="e">
        <f aca="false">+VLOOKUP(E246,[1]!curvecalc,3,0)</f>
        <v>#N/A</v>
      </c>
      <c r="G246" s="119" t="n">
        <f aca="false">+IF(AND(startdate&lt;=E246,enddate&gt;=E246),1,0)</f>
        <v>0</v>
      </c>
      <c r="H246" s="120" t="str">
        <f aca="false">+IF($G246=0,"",(+VLOOKUP($E246,[1]!FIXED_CHARTER_COST,HLOOKUP(vessel_choice,[1]!FIXED_CHARTER_COST,2,0)+1,0)*roundtrip_days)/vessel_mmbtu)</f>
        <v/>
      </c>
      <c r="I246" s="120" t="str">
        <f aca="false">+IF($G246=0,"",(+VLOOKUP($E246,[1]!OM_CHARTER_COST,HLOOKUP(vessel_choice,[1]!OM_CHARTER_COST,2,0)+1,0)*roundtrip_days)/vessel_mmbtu)</f>
        <v/>
      </c>
      <c r="J246" s="120" t="str">
        <f aca="false">IF($G246=0,"",(INDEX([1]!bunker_cost,MATCH(route,[1]!bunker_cost_route,0),MATCH(vessel_choice,[1]!bunker_cost_ship,0))/vessel_mmbtu))</f>
        <v/>
      </c>
      <c r="K246" s="120" t="str">
        <f aca="false">IF($G246=0,"",(+INDEX([1]!PORT_CHARGES,MATCH(source,[1]!PORTS,0),MATCH(vessel,[1]!PORT_CHARGE_SHIPS,0))/vessel_mmbtu))</f>
        <v/>
      </c>
      <c r="L246" s="120" t="str">
        <f aca="false">IF($G246=0,"",(+INDEX([1]!PORT_CHARGES,MATCH(destination,[1]!PORTS,0),MATCH(vessel,[1]!PORT_CHARGE_SHIPS,0))/vessel_mmbtu))</f>
        <v/>
      </c>
      <c r="M246" s="120" t="str">
        <f aca="false">IF($G246=0,"",IF(route_choice=1,INDEX([1]!PORT_CHARGES,MATCH(suez,[1]!PORTS,0),MATCH(vessel,[1]!PORT_CHARGE_SHIPS,0)),0)/vessel_mmbtu)</f>
        <v/>
      </c>
      <c r="N246" s="120" t="str">
        <f aca="false">+IF(G246=0,"",+HLOOKUP(vessel,[1]!other_cost,3,0))</f>
        <v/>
      </c>
      <c r="O246" s="121" t="str">
        <f aca="false">+IF(G246=0,"",SUM(H246:N246))</f>
        <v/>
      </c>
      <c r="P246" s="88"/>
      <c r="Q246" s="90"/>
    </row>
    <row r="247" customFormat="false" ht="12.75" hidden="false" customHeight="false" outlineLevel="0" collapsed="false">
      <c r="E247" s="117" t="n">
        <f aca="false">+DATE(YEAR(E246),MONTH(E246)+1,1)</f>
        <v>53144</v>
      </c>
      <c r="F247" s="118" t="e">
        <f aca="false">+VLOOKUP(E247,[1]!curvecalc,3,0)</f>
        <v>#N/A</v>
      </c>
      <c r="G247" s="119" t="n">
        <f aca="false">+IF(AND(startdate&lt;=E247,enddate&gt;=E247),1,0)</f>
        <v>0</v>
      </c>
      <c r="H247" s="120" t="str">
        <f aca="false">+IF($G247=0,"",(+VLOOKUP($E247,[1]!FIXED_CHARTER_COST,HLOOKUP(vessel_choice,[1]!FIXED_CHARTER_COST,2,0)+1,0)*roundtrip_days)/vessel_mmbtu)</f>
        <v/>
      </c>
      <c r="I247" s="120" t="str">
        <f aca="false">+IF($G247=0,"",(+VLOOKUP($E247,[1]!OM_CHARTER_COST,HLOOKUP(vessel_choice,[1]!OM_CHARTER_COST,2,0)+1,0)*roundtrip_days)/vessel_mmbtu)</f>
        <v/>
      </c>
      <c r="J247" s="120" t="str">
        <f aca="false">IF($G247=0,"",(INDEX([1]!bunker_cost,MATCH(route,[1]!bunker_cost_route,0),MATCH(vessel_choice,[1]!bunker_cost_ship,0))/vessel_mmbtu))</f>
        <v/>
      </c>
      <c r="K247" s="120" t="str">
        <f aca="false">IF($G247=0,"",(+INDEX([1]!PORT_CHARGES,MATCH(source,[1]!PORTS,0),MATCH(vessel,[1]!PORT_CHARGE_SHIPS,0))/vessel_mmbtu))</f>
        <v/>
      </c>
      <c r="L247" s="120" t="str">
        <f aca="false">IF($G247=0,"",(+INDEX([1]!PORT_CHARGES,MATCH(destination,[1]!PORTS,0),MATCH(vessel,[1]!PORT_CHARGE_SHIPS,0))/vessel_mmbtu))</f>
        <v/>
      </c>
      <c r="M247" s="120" t="str">
        <f aca="false">IF($G247=0,"",IF(route_choice=1,INDEX([1]!PORT_CHARGES,MATCH(suez,[1]!PORTS,0),MATCH(vessel,[1]!PORT_CHARGE_SHIPS,0)),0)/vessel_mmbtu)</f>
        <v/>
      </c>
      <c r="N247" s="120" t="str">
        <f aca="false">+IF(G247=0,"",+HLOOKUP(vessel,[1]!other_cost,3,0))</f>
        <v/>
      </c>
      <c r="O247" s="121" t="str">
        <f aca="false">+IF(G247=0,"",SUM(H247:N247))</f>
        <v/>
      </c>
      <c r="P247" s="88"/>
      <c r="Q247" s="90"/>
    </row>
    <row r="248" customFormat="false" ht="12.75" hidden="false" customHeight="false" outlineLevel="0" collapsed="false">
      <c r="E248" s="117" t="n">
        <f aca="false">+DATE(YEAR(E247),MONTH(E247)+1,1)</f>
        <v>53175</v>
      </c>
      <c r="F248" s="118" t="e">
        <f aca="false">+VLOOKUP(E248,[1]!curvecalc,3,0)</f>
        <v>#N/A</v>
      </c>
      <c r="G248" s="119" t="n">
        <f aca="false">+IF(AND(startdate&lt;=E248,enddate&gt;=E248),1,0)</f>
        <v>0</v>
      </c>
      <c r="H248" s="120" t="str">
        <f aca="false">+IF($G248=0,"",(+VLOOKUP($E248,[1]!FIXED_CHARTER_COST,HLOOKUP(vessel_choice,[1]!FIXED_CHARTER_COST,2,0)+1,0)*roundtrip_days)/vessel_mmbtu)</f>
        <v/>
      </c>
      <c r="I248" s="120" t="str">
        <f aca="false">+IF($G248=0,"",(+VLOOKUP($E248,[1]!OM_CHARTER_COST,HLOOKUP(vessel_choice,[1]!OM_CHARTER_COST,2,0)+1,0)*roundtrip_days)/vessel_mmbtu)</f>
        <v/>
      </c>
      <c r="J248" s="120" t="str">
        <f aca="false">IF($G248=0,"",(INDEX([1]!bunker_cost,MATCH(route,[1]!bunker_cost_route,0),MATCH(vessel_choice,[1]!bunker_cost_ship,0))/vessel_mmbtu))</f>
        <v/>
      </c>
      <c r="K248" s="120" t="str">
        <f aca="false">IF($G248=0,"",(+INDEX([1]!PORT_CHARGES,MATCH(source,[1]!PORTS,0),MATCH(vessel,[1]!PORT_CHARGE_SHIPS,0))/vessel_mmbtu))</f>
        <v/>
      </c>
      <c r="L248" s="120" t="str">
        <f aca="false">IF($G248=0,"",(+INDEX([1]!PORT_CHARGES,MATCH(destination,[1]!PORTS,0),MATCH(vessel,[1]!PORT_CHARGE_SHIPS,0))/vessel_mmbtu))</f>
        <v/>
      </c>
      <c r="M248" s="120" t="str">
        <f aca="false">IF($G248=0,"",IF(route_choice=1,INDEX([1]!PORT_CHARGES,MATCH(suez,[1]!PORTS,0),MATCH(vessel,[1]!PORT_CHARGE_SHIPS,0)),0)/vessel_mmbtu)</f>
        <v/>
      </c>
      <c r="N248" s="120" t="str">
        <f aca="false">+IF(G248=0,"",+HLOOKUP(vessel,[1]!other_cost,3,0))</f>
        <v/>
      </c>
      <c r="O248" s="121" t="str">
        <f aca="false">+IF(G248=0,"",SUM(H248:N248))</f>
        <v/>
      </c>
      <c r="P248" s="88"/>
      <c r="Q248" s="90"/>
    </row>
    <row r="249" customFormat="false" ht="12.75" hidden="false" customHeight="false" outlineLevel="0" collapsed="false">
      <c r="E249" s="117" t="n">
        <f aca="false">+DATE(YEAR(E248),MONTH(E248)+1,1)</f>
        <v>53206</v>
      </c>
      <c r="F249" s="118" t="e">
        <f aca="false">+VLOOKUP(E249,[1]!curvecalc,3,0)</f>
        <v>#N/A</v>
      </c>
      <c r="G249" s="119" t="n">
        <f aca="false">+IF(AND(startdate&lt;=E249,enddate&gt;=E249),1,0)</f>
        <v>0</v>
      </c>
      <c r="H249" s="120" t="str">
        <f aca="false">+IF($G249=0,"",(+VLOOKUP($E249,[1]!FIXED_CHARTER_COST,HLOOKUP(vessel_choice,[1]!FIXED_CHARTER_COST,2,0)+1,0)*roundtrip_days)/vessel_mmbtu)</f>
        <v/>
      </c>
      <c r="I249" s="120" t="str">
        <f aca="false">+IF($G249=0,"",(+VLOOKUP($E249,[1]!OM_CHARTER_COST,HLOOKUP(vessel_choice,[1]!OM_CHARTER_COST,2,0)+1,0)*roundtrip_days)/vessel_mmbtu)</f>
        <v/>
      </c>
      <c r="J249" s="120" t="str">
        <f aca="false">IF($G249=0,"",(INDEX([1]!bunker_cost,MATCH(route,[1]!bunker_cost_route,0),MATCH(vessel_choice,[1]!bunker_cost_ship,0))/vessel_mmbtu))</f>
        <v/>
      </c>
      <c r="K249" s="120" t="str">
        <f aca="false">IF($G249=0,"",(+INDEX([1]!PORT_CHARGES,MATCH(source,[1]!PORTS,0),MATCH(vessel,[1]!PORT_CHARGE_SHIPS,0))/vessel_mmbtu))</f>
        <v/>
      </c>
      <c r="L249" s="120" t="str">
        <f aca="false">IF($G249=0,"",(+INDEX([1]!PORT_CHARGES,MATCH(destination,[1]!PORTS,0),MATCH(vessel,[1]!PORT_CHARGE_SHIPS,0))/vessel_mmbtu))</f>
        <v/>
      </c>
      <c r="M249" s="120" t="str">
        <f aca="false">IF($G249=0,"",IF(route_choice=1,INDEX([1]!PORT_CHARGES,MATCH(suez,[1]!PORTS,0),MATCH(vessel,[1]!PORT_CHARGE_SHIPS,0)),0)/vessel_mmbtu)</f>
        <v/>
      </c>
      <c r="N249" s="120" t="str">
        <f aca="false">+IF(G249=0,"",+HLOOKUP(vessel,[1]!other_cost,3,0))</f>
        <v/>
      </c>
      <c r="O249" s="121" t="str">
        <f aca="false">+IF(G249=0,"",SUM(H249:N249))</f>
        <v/>
      </c>
      <c r="P249" s="88"/>
      <c r="Q249" s="90"/>
    </row>
    <row r="250" customFormat="false" ht="12.75" hidden="false" customHeight="false" outlineLevel="0" collapsed="false">
      <c r="E250" s="117" t="n">
        <f aca="false">+DATE(YEAR(E249),MONTH(E249)+1,1)</f>
        <v>53236</v>
      </c>
      <c r="F250" s="118" t="e">
        <f aca="false">+VLOOKUP(E250,[1]!curvecalc,3,0)</f>
        <v>#N/A</v>
      </c>
      <c r="G250" s="119" t="n">
        <f aca="false">+IF(AND(startdate&lt;=E250,enddate&gt;=E250),1,0)</f>
        <v>0</v>
      </c>
      <c r="H250" s="120" t="str">
        <f aca="false">+IF($G250=0,"",(+VLOOKUP($E250,[1]!FIXED_CHARTER_COST,HLOOKUP(vessel_choice,[1]!FIXED_CHARTER_COST,2,0)+1,0)*roundtrip_days)/vessel_mmbtu)</f>
        <v/>
      </c>
      <c r="I250" s="120" t="str">
        <f aca="false">+IF($G250=0,"",(+VLOOKUP($E250,[1]!OM_CHARTER_COST,HLOOKUP(vessel_choice,[1]!OM_CHARTER_COST,2,0)+1,0)*roundtrip_days)/vessel_mmbtu)</f>
        <v/>
      </c>
      <c r="J250" s="120" t="str">
        <f aca="false">IF($G250=0,"",(INDEX([1]!bunker_cost,MATCH(route,[1]!bunker_cost_route,0),MATCH(vessel_choice,[1]!bunker_cost_ship,0))/vessel_mmbtu))</f>
        <v/>
      </c>
      <c r="K250" s="120" t="str">
        <f aca="false">IF($G250=0,"",(+INDEX([1]!PORT_CHARGES,MATCH(source,[1]!PORTS,0),MATCH(vessel,[1]!PORT_CHARGE_SHIPS,0))/vessel_mmbtu))</f>
        <v/>
      </c>
      <c r="L250" s="120" t="str">
        <f aca="false">IF($G250=0,"",(+INDEX([1]!PORT_CHARGES,MATCH(destination,[1]!PORTS,0),MATCH(vessel,[1]!PORT_CHARGE_SHIPS,0))/vessel_mmbtu))</f>
        <v/>
      </c>
      <c r="M250" s="120" t="str">
        <f aca="false">IF($G250=0,"",IF(route_choice=1,INDEX([1]!PORT_CHARGES,MATCH(suez,[1]!PORTS,0),MATCH(vessel,[1]!PORT_CHARGE_SHIPS,0)),0)/vessel_mmbtu)</f>
        <v/>
      </c>
      <c r="N250" s="120" t="str">
        <f aca="false">+IF(G250=0,"",+HLOOKUP(vessel,[1]!other_cost,3,0))</f>
        <v/>
      </c>
      <c r="O250" s="121" t="str">
        <f aca="false">+IF(G250=0,"",SUM(H250:N250))</f>
        <v/>
      </c>
      <c r="P250" s="88"/>
      <c r="Q250" s="90"/>
    </row>
    <row r="251" customFormat="false" ht="12.75" hidden="false" customHeight="false" outlineLevel="0" collapsed="false">
      <c r="E251" s="117" t="n">
        <f aca="false">+DATE(YEAR(E250),MONTH(E250)+1,1)</f>
        <v>53267</v>
      </c>
      <c r="F251" s="118" t="e">
        <f aca="false">+VLOOKUP(E251,[1]!curvecalc,3,0)</f>
        <v>#N/A</v>
      </c>
      <c r="G251" s="119" t="n">
        <f aca="false">+IF(AND(startdate&lt;=E251,enddate&gt;=E251),1,0)</f>
        <v>0</v>
      </c>
      <c r="H251" s="120" t="str">
        <f aca="false">+IF($G251=0,"",(+VLOOKUP($E251,[1]!FIXED_CHARTER_COST,HLOOKUP(vessel_choice,[1]!FIXED_CHARTER_COST,2,0)+1,0)*roundtrip_days)/vessel_mmbtu)</f>
        <v/>
      </c>
      <c r="I251" s="120" t="str">
        <f aca="false">+IF($G251=0,"",(+VLOOKUP($E251,[1]!OM_CHARTER_COST,HLOOKUP(vessel_choice,[1]!OM_CHARTER_COST,2,0)+1,0)*roundtrip_days)/vessel_mmbtu)</f>
        <v/>
      </c>
      <c r="J251" s="120" t="str">
        <f aca="false">IF($G251=0,"",(INDEX([1]!bunker_cost,MATCH(route,[1]!bunker_cost_route,0),MATCH(vessel_choice,[1]!bunker_cost_ship,0))/vessel_mmbtu))</f>
        <v/>
      </c>
      <c r="K251" s="120" t="str">
        <f aca="false">IF($G251=0,"",(+INDEX([1]!PORT_CHARGES,MATCH(source,[1]!PORTS,0),MATCH(vessel,[1]!PORT_CHARGE_SHIPS,0))/vessel_mmbtu))</f>
        <v/>
      </c>
      <c r="L251" s="120" t="str">
        <f aca="false">IF($G251=0,"",(+INDEX([1]!PORT_CHARGES,MATCH(destination,[1]!PORTS,0),MATCH(vessel,[1]!PORT_CHARGE_SHIPS,0))/vessel_mmbtu))</f>
        <v/>
      </c>
      <c r="M251" s="120" t="str">
        <f aca="false">IF($G251=0,"",IF(route_choice=1,INDEX([1]!PORT_CHARGES,MATCH(suez,[1]!PORTS,0),MATCH(vessel,[1]!PORT_CHARGE_SHIPS,0)),0)/vessel_mmbtu)</f>
        <v/>
      </c>
      <c r="N251" s="120" t="str">
        <f aca="false">+IF(G251=0,"",+HLOOKUP(vessel,[1]!other_cost,3,0))</f>
        <v/>
      </c>
      <c r="O251" s="121" t="str">
        <f aca="false">+IF(G251=0,"",SUM(H251:N251))</f>
        <v/>
      </c>
      <c r="P251" s="88"/>
      <c r="Q251" s="90"/>
    </row>
    <row r="252" customFormat="false" ht="12.75" hidden="false" customHeight="false" outlineLevel="0" collapsed="false">
      <c r="E252" s="117" t="n">
        <f aca="false">+DATE(YEAR(E251),MONTH(E251)+1,1)</f>
        <v>53297</v>
      </c>
      <c r="F252" s="118" t="e">
        <f aca="false">+VLOOKUP(E252,[1]!curvecalc,3,0)</f>
        <v>#N/A</v>
      </c>
      <c r="G252" s="119" t="n">
        <f aca="false">+IF(AND(startdate&lt;=E252,enddate&gt;=E252),1,0)</f>
        <v>0</v>
      </c>
      <c r="H252" s="120" t="str">
        <f aca="false">+IF($G252=0,"",(+VLOOKUP($E252,[1]!FIXED_CHARTER_COST,HLOOKUP(vessel_choice,[1]!FIXED_CHARTER_COST,2,0)+1,0)*roundtrip_days)/vessel_mmbtu)</f>
        <v/>
      </c>
      <c r="I252" s="120" t="str">
        <f aca="false">+IF($G252=0,"",(+VLOOKUP($E252,[1]!OM_CHARTER_COST,HLOOKUP(vessel_choice,[1]!OM_CHARTER_COST,2,0)+1,0)*roundtrip_days)/vessel_mmbtu)</f>
        <v/>
      </c>
      <c r="J252" s="120" t="str">
        <f aca="false">IF($G252=0,"",(INDEX([1]!bunker_cost,MATCH(route,[1]!bunker_cost_route,0),MATCH(vessel_choice,[1]!bunker_cost_ship,0))/vessel_mmbtu))</f>
        <v/>
      </c>
      <c r="K252" s="120" t="str">
        <f aca="false">IF($G252=0,"",(+INDEX([1]!PORT_CHARGES,MATCH(source,[1]!PORTS,0),MATCH(vessel,[1]!PORT_CHARGE_SHIPS,0))/vessel_mmbtu))</f>
        <v/>
      </c>
      <c r="L252" s="120" t="str">
        <f aca="false">IF($G252=0,"",(+INDEX([1]!PORT_CHARGES,MATCH(destination,[1]!PORTS,0),MATCH(vessel,[1]!PORT_CHARGE_SHIPS,0))/vessel_mmbtu))</f>
        <v/>
      </c>
      <c r="M252" s="120" t="str">
        <f aca="false">IF($G252=0,"",IF(route_choice=1,INDEX([1]!PORT_CHARGES,MATCH(suez,[1]!PORTS,0),MATCH(vessel,[1]!PORT_CHARGE_SHIPS,0)),0)/vessel_mmbtu)</f>
        <v/>
      </c>
      <c r="N252" s="120" t="str">
        <f aca="false">+IF(G252=0,"",+HLOOKUP(vessel,[1]!other_cost,3,0))</f>
        <v/>
      </c>
      <c r="O252" s="121" t="str">
        <f aca="false">+IF(G252=0,"",SUM(H252:N252))</f>
        <v/>
      </c>
      <c r="P252" s="88"/>
      <c r="Q252" s="90"/>
    </row>
    <row r="253" customFormat="false" ht="12.75" hidden="false" customHeight="false" outlineLevel="0" collapsed="false">
      <c r="E253" s="117" t="n">
        <f aca="false">+DATE(YEAR(E252),MONTH(E252)+1,1)</f>
        <v>53328</v>
      </c>
      <c r="F253" s="118" t="e">
        <f aca="false">+VLOOKUP(E253,[1]!curvecalc,3,0)</f>
        <v>#N/A</v>
      </c>
      <c r="G253" s="119" t="n">
        <f aca="false">+IF(AND(startdate&lt;=E253,enddate&gt;=E253),1,0)</f>
        <v>0</v>
      </c>
      <c r="H253" s="120" t="str">
        <f aca="false">+IF($G253=0,"",(+VLOOKUP($E253,[1]!FIXED_CHARTER_COST,HLOOKUP(vessel_choice,[1]!FIXED_CHARTER_COST,2,0)+1,0)*roundtrip_days)/vessel_mmbtu)</f>
        <v/>
      </c>
      <c r="I253" s="120" t="str">
        <f aca="false">+IF($G253=0,"",(+VLOOKUP($E253,[1]!OM_CHARTER_COST,HLOOKUP(vessel_choice,[1]!OM_CHARTER_COST,2,0)+1,0)*roundtrip_days)/vessel_mmbtu)</f>
        <v/>
      </c>
      <c r="J253" s="120" t="str">
        <f aca="false">IF($G253=0,"",(INDEX([1]!bunker_cost,MATCH(route,[1]!bunker_cost_route,0),MATCH(vessel_choice,[1]!bunker_cost_ship,0))/vessel_mmbtu))</f>
        <v/>
      </c>
      <c r="K253" s="120" t="str">
        <f aca="false">IF($G253=0,"",(+INDEX([1]!PORT_CHARGES,MATCH(source,[1]!PORTS,0),MATCH(vessel,[1]!PORT_CHARGE_SHIPS,0))/vessel_mmbtu))</f>
        <v/>
      </c>
      <c r="L253" s="120" t="str">
        <f aca="false">IF($G253=0,"",(+INDEX([1]!PORT_CHARGES,MATCH(destination,[1]!PORTS,0),MATCH(vessel,[1]!PORT_CHARGE_SHIPS,0))/vessel_mmbtu))</f>
        <v/>
      </c>
      <c r="M253" s="120" t="str">
        <f aca="false">IF($G253=0,"",IF(route_choice=1,INDEX([1]!PORT_CHARGES,MATCH(suez,[1]!PORTS,0),MATCH(vessel,[1]!PORT_CHARGE_SHIPS,0)),0)/vessel_mmbtu)</f>
        <v/>
      </c>
      <c r="N253" s="120" t="str">
        <f aca="false">+IF(G253=0,"",+HLOOKUP(vessel,[1]!other_cost,3,0))</f>
        <v/>
      </c>
      <c r="O253" s="121" t="str">
        <f aca="false">+IF(G253=0,"",SUM(H253:N253))</f>
        <v/>
      </c>
      <c r="P253" s="88"/>
      <c r="Q253" s="90"/>
    </row>
    <row r="254" customFormat="false" ht="12.75" hidden="false" customHeight="false" outlineLevel="0" collapsed="false">
      <c r="E254" s="117" t="n">
        <f aca="false">+DATE(YEAR(E253),MONTH(E253)+1,1)</f>
        <v>53359</v>
      </c>
      <c r="F254" s="118" t="e">
        <f aca="false">+VLOOKUP(E254,[1]!curvecalc,3,0)</f>
        <v>#N/A</v>
      </c>
      <c r="G254" s="119" t="n">
        <f aca="false">+IF(AND(startdate&lt;=E254,enddate&gt;=E254),1,0)</f>
        <v>0</v>
      </c>
      <c r="H254" s="120" t="str">
        <f aca="false">+IF($G254=0,"",(+VLOOKUP($E254,[1]!FIXED_CHARTER_COST,HLOOKUP(vessel_choice,[1]!FIXED_CHARTER_COST,2,0)+1,0)*roundtrip_days)/vessel_mmbtu)</f>
        <v/>
      </c>
      <c r="I254" s="120" t="str">
        <f aca="false">+IF($G254=0,"",(+VLOOKUP($E254,[1]!OM_CHARTER_COST,HLOOKUP(vessel_choice,[1]!OM_CHARTER_COST,2,0)+1,0)*roundtrip_days)/vessel_mmbtu)</f>
        <v/>
      </c>
      <c r="J254" s="120" t="str">
        <f aca="false">IF($G254=0,"",(INDEX([1]!bunker_cost,MATCH(route,[1]!bunker_cost_route,0),MATCH(vessel_choice,[1]!bunker_cost_ship,0))/vessel_mmbtu))</f>
        <v/>
      </c>
      <c r="K254" s="120" t="str">
        <f aca="false">IF($G254=0,"",(+INDEX([1]!PORT_CHARGES,MATCH(source,[1]!PORTS,0),MATCH(vessel,[1]!PORT_CHARGE_SHIPS,0))/vessel_mmbtu))</f>
        <v/>
      </c>
      <c r="L254" s="120" t="str">
        <f aca="false">IF($G254=0,"",(+INDEX([1]!PORT_CHARGES,MATCH(destination,[1]!PORTS,0),MATCH(vessel,[1]!PORT_CHARGE_SHIPS,0))/vessel_mmbtu))</f>
        <v/>
      </c>
      <c r="M254" s="120" t="str">
        <f aca="false">IF($G254=0,"",IF(route_choice=1,INDEX([1]!PORT_CHARGES,MATCH(suez,[1]!PORTS,0),MATCH(vessel,[1]!PORT_CHARGE_SHIPS,0)),0)/vessel_mmbtu)</f>
        <v/>
      </c>
      <c r="N254" s="120" t="str">
        <f aca="false">+IF(G254=0,"",+HLOOKUP(vessel,[1]!other_cost,3,0))</f>
        <v/>
      </c>
      <c r="O254" s="121" t="str">
        <f aca="false">+IF(G254=0,"",SUM(H254:N254))</f>
        <v/>
      </c>
      <c r="P254" s="88"/>
      <c r="Q254" s="90"/>
    </row>
    <row r="255" customFormat="false" ht="12.75" hidden="false" customHeight="false" outlineLevel="0" collapsed="false">
      <c r="E255" s="117" t="n">
        <f aca="false">+DATE(YEAR(E254),MONTH(E254)+1,1)</f>
        <v>53387</v>
      </c>
      <c r="F255" s="118" t="e">
        <f aca="false">+VLOOKUP(E255,[1]!curvecalc,3,0)</f>
        <v>#N/A</v>
      </c>
      <c r="G255" s="119" t="n">
        <f aca="false">+IF(AND(startdate&lt;=E255,enddate&gt;=E255),1,0)</f>
        <v>0</v>
      </c>
      <c r="H255" s="120" t="str">
        <f aca="false">+IF($G255=0,"",(+VLOOKUP($E255,[1]!FIXED_CHARTER_COST,HLOOKUP(vessel_choice,[1]!FIXED_CHARTER_COST,2,0)+1,0)*roundtrip_days)/vessel_mmbtu)</f>
        <v/>
      </c>
      <c r="I255" s="120" t="str">
        <f aca="false">+IF($G255=0,"",(+VLOOKUP($E255,[1]!OM_CHARTER_COST,HLOOKUP(vessel_choice,[1]!OM_CHARTER_COST,2,0)+1,0)*roundtrip_days)/vessel_mmbtu)</f>
        <v/>
      </c>
      <c r="J255" s="120" t="str">
        <f aca="false">IF($G255=0,"",(INDEX([1]!bunker_cost,MATCH(route,[1]!bunker_cost_route,0),MATCH(vessel_choice,[1]!bunker_cost_ship,0))/vessel_mmbtu))</f>
        <v/>
      </c>
      <c r="K255" s="120" t="str">
        <f aca="false">IF($G255=0,"",(+INDEX([1]!PORT_CHARGES,MATCH(source,[1]!PORTS,0),MATCH(vessel,[1]!PORT_CHARGE_SHIPS,0))/vessel_mmbtu))</f>
        <v/>
      </c>
      <c r="L255" s="120" t="str">
        <f aca="false">IF($G255=0,"",(+INDEX([1]!PORT_CHARGES,MATCH(destination,[1]!PORTS,0),MATCH(vessel,[1]!PORT_CHARGE_SHIPS,0))/vessel_mmbtu))</f>
        <v/>
      </c>
      <c r="M255" s="120" t="str">
        <f aca="false">IF($G255=0,"",IF(route_choice=1,INDEX([1]!PORT_CHARGES,MATCH(suez,[1]!PORTS,0),MATCH(vessel,[1]!PORT_CHARGE_SHIPS,0)),0)/vessel_mmbtu)</f>
        <v/>
      </c>
      <c r="N255" s="120" t="str">
        <f aca="false">+IF(G255=0,"",+HLOOKUP(vessel,[1]!other_cost,3,0))</f>
        <v/>
      </c>
      <c r="O255" s="121" t="str">
        <f aca="false">+IF(G255=0,"",SUM(H255:N255))</f>
        <v/>
      </c>
      <c r="P255" s="88"/>
      <c r="Q255" s="90"/>
    </row>
    <row r="256" customFormat="false" ht="12.75" hidden="false" customHeight="false" outlineLevel="0" collapsed="false">
      <c r="E256" s="117" t="n">
        <f aca="false">+DATE(YEAR(E255),MONTH(E255)+1,1)</f>
        <v>53418</v>
      </c>
      <c r="F256" s="118" t="e">
        <f aca="false">+VLOOKUP(E256,[1]!curvecalc,3,0)</f>
        <v>#N/A</v>
      </c>
      <c r="G256" s="119" t="n">
        <f aca="false">+IF(AND(startdate&lt;=E256,enddate&gt;=E256),1,0)</f>
        <v>0</v>
      </c>
      <c r="H256" s="120" t="str">
        <f aca="false">+IF($G256=0,"",(+VLOOKUP($E256,[1]!FIXED_CHARTER_COST,HLOOKUP(vessel_choice,[1]!FIXED_CHARTER_COST,2,0)+1,0)*roundtrip_days)/vessel_mmbtu)</f>
        <v/>
      </c>
      <c r="I256" s="120" t="str">
        <f aca="false">+IF($G256=0,"",(+VLOOKUP($E256,[1]!OM_CHARTER_COST,HLOOKUP(vessel_choice,[1]!OM_CHARTER_COST,2,0)+1,0)*roundtrip_days)/vessel_mmbtu)</f>
        <v/>
      </c>
      <c r="J256" s="120" t="str">
        <f aca="false">IF($G256=0,"",(INDEX([1]!bunker_cost,MATCH(route,[1]!bunker_cost_route,0),MATCH(vessel_choice,[1]!bunker_cost_ship,0))/vessel_mmbtu))</f>
        <v/>
      </c>
      <c r="K256" s="120" t="str">
        <f aca="false">IF($G256=0,"",(+INDEX([1]!PORT_CHARGES,MATCH(source,[1]!PORTS,0),MATCH(vessel,[1]!PORT_CHARGE_SHIPS,0))/vessel_mmbtu))</f>
        <v/>
      </c>
      <c r="L256" s="120" t="str">
        <f aca="false">IF($G256=0,"",(+INDEX([1]!PORT_CHARGES,MATCH(destination,[1]!PORTS,0),MATCH(vessel,[1]!PORT_CHARGE_SHIPS,0))/vessel_mmbtu))</f>
        <v/>
      </c>
      <c r="M256" s="120" t="str">
        <f aca="false">IF($G256=0,"",IF(route_choice=1,INDEX([1]!PORT_CHARGES,MATCH(suez,[1]!PORTS,0),MATCH(vessel,[1]!PORT_CHARGE_SHIPS,0)),0)/vessel_mmbtu)</f>
        <v/>
      </c>
      <c r="N256" s="120" t="str">
        <f aca="false">+IF(G256=0,"",+HLOOKUP(vessel,[1]!other_cost,3,0))</f>
        <v/>
      </c>
      <c r="O256" s="121" t="str">
        <f aca="false">+IF(G256=0,"",SUM(H256:N256))</f>
        <v/>
      </c>
      <c r="P256" s="88"/>
      <c r="Q256" s="90"/>
    </row>
    <row r="257" customFormat="false" ht="12.75" hidden="false" customHeight="false" outlineLevel="0" collapsed="false">
      <c r="E257" s="117" t="n">
        <f aca="false">+DATE(YEAR(E256),MONTH(E256)+1,1)</f>
        <v>53448</v>
      </c>
      <c r="F257" s="118" t="e">
        <f aca="false">+VLOOKUP(E257,[1]!curvecalc,3,0)</f>
        <v>#N/A</v>
      </c>
      <c r="G257" s="119" t="n">
        <f aca="false">+IF(AND(startdate&lt;=E257,enddate&gt;=E257),1,0)</f>
        <v>0</v>
      </c>
      <c r="H257" s="120" t="str">
        <f aca="false">+IF($G257=0,"",(+VLOOKUP($E257,[1]!FIXED_CHARTER_COST,HLOOKUP(vessel_choice,[1]!FIXED_CHARTER_COST,2,0)+1,0)*roundtrip_days)/vessel_mmbtu)</f>
        <v/>
      </c>
      <c r="I257" s="120" t="str">
        <f aca="false">+IF($G257=0,"",(+VLOOKUP($E257,[1]!OM_CHARTER_COST,HLOOKUP(vessel_choice,[1]!OM_CHARTER_COST,2,0)+1,0)*roundtrip_days)/vessel_mmbtu)</f>
        <v/>
      </c>
      <c r="J257" s="120" t="str">
        <f aca="false">IF($G257=0,"",(INDEX([1]!bunker_cost,MATCH(route,[1]!bunker_cost_route,0),MATCH(vessel_choice,[1]!bunker_cost_ship,0))/vessel_mmbtu))</f>
        <v/>
      </c>
      <c r="K257" s="120" t="str">
        <f aca="false">IF($G257=0,"",(+INDEX([1]!PORT_CHARGES,MATCH(source,[1]!PORTS,0),MATCH(vessel,[1]!PORT_CHARGE_SHIPS,0))/vessel_mmbtu))</f>
        <v/>
      </c>
      <c r="L257" s="120" t="str">
        <f aca="false">IF($G257=0,"",(+INDEX([1]!PORT_CHARGES,MATCH(destination,[1]!PORTS,0),MATCH(vessel,[1]!PORT_CHARGE_SHIPS,0))/vessel_mmbtu))</f>
        <v/>
      </c>
      <c r="M257" s="120" t="str">
        <f aca="false">IF($G257=0,"",IF(route_choice=1,INDEX([1]!PORT_CHARGES,MATCH(suez,[1]!PORTS,0),MATCH(vessel,[1]!PORT_CHARGE_SHIPS,0)),0)/vessel_mmbtu)</f>
        <v/>
      </c>
      <c r="N257" s="120" t="str">
        <f aca="false">+IF(G257=0,"",+HLOOKUP(vessel,[1]!other_cost,3,0))</f>
        <v/>
      </c>
      <c r="O257" s="121" t="str">
        <f aca="false">+IF(G257=0,"",SUM(H257:N257))</f>
        <v/>
      </c>
      <c r="P257" s="88"/>
      <c r="Q257" s="90"/>
    </row>
    <row r="258" customFormat="false" ht="12.75" hidden="false" customHeight="false" outlineLevel="0" collapsed="false">
      <c r="E258" s="117" t="n">
        <f aca="false">+DATE(YEAR(E257),MONTH(E257)+1,1)</f>
        <v>53479</v>
      </c>
      <c r="F258" s="118" t="e">
        <f aca="false">+VLOOKUP(E258,[1]!curvecalc,3,0)</f>
        <v>#N/A</v>
      </c>
      <c r="G258" s="119" t="n">
        <f aca="false">+IF(AND(startdate&lt;=E258,enddate&gt;=E258),1,0)</f>
        <v>0</v>
      </c>
      <c r="H258" s="120" t="str">
        <f aca="false">+IF($G258=0,"",(+VLOOKUP($E258,[1]!FIXED_CHARTER_COST,HLOOKUP(vessel_choice,[1]!FIXED_CHARTER_COST,2,0)+1,0)*roundtrip_days)/vessel_mmbtu)</f>
        <v/>
      </c>
      <c r="I258" s="120" t="str">
        <f aca="false">+IF($G258=0,"",(+VLOOKUP($E258,[1]!OM_CHARTER_COST,HLOOKUP(vessel_choice,[1]!OM_CHARTER_COST,2,0)+1,0)*roundtrip_days)/vessel_mmbtu)</f>
        <v/>
      </c>
      <c r="J258" s="120" t="str">
        <f aca="false">IF($G258=0,"",(INDEX([1]!bunker_cost,MATCH(route,[1]!bunker_cost_route,0),MATCH(vessel_choice,[1]!bunker_cost_ship,0))/vessel_mmbtu))</f>
        <v/>
      </c>
      <c r="K258" s="120" t="str">
        <f aca="false">IF($G258=0,"",(+INDEX([1]!PORT_CHARGES,MATCH(source,[1]!PORTS,0),MATCH(vessel,[1]!PORT_CHARGE_SHIPS,0))/vessel_mmbtu))</f>
        <v/>
      </c>
      <c r="L258" s="120" t="str">
        <f aca="false">IF($G258=0,"",(+INDEX([1]!PORT_CHARGES,MATCH(destination,[1]!PORTS,0),MATCH(vessel,[1]!PORT_CHARGE_SHIPS,0))/vessel_mmbtu))</f>
        <v/>
      </c>
      <c r="M258" s="120" t="str">
        <f aca="false">IF($G258=0,"",IF(route_choice=1,INDEX([1]!PORT_CHARGES,MATCH(suez,[1]!PORTS,0),MATCH(vessel,[1]!PORT_CHARGE_SHIPS,0)),0)/vessel_mmbtu)</f>
        <v/>
      </c>
      <c r="N258" s="120" t="str">
        <f aca="false">+IF(G258=0,"",+HLOOKUP(vessel,[1]!other_cost,3,0))</f>
        <v/>
      </c>
      <c r="O258" s="121" t="str">
        <f aca="false">+IF(G258=0,"",SUM(H258:N258))</f>
        <v/>
      </c>
      <c r="P258" s="88"/>
      <c r="Q258" s="90"/>
    </row>
    <row r="259" customFormat="false" ht="12.75" hidden="false" customHeight="false" outlineLevel="0" collapsed="false">
      <c r="E259" s="117" t="n">
        <f aca="false">+DATE(YEAR(E258),MONTH(E258)+1,1)</f>
        <v>53509</v>
      </c>
      <c r="F259" s="118" t="e">
        <f aca="false">+VLOOKUP(E259,[1]!curvecalc,3,0)</f>
        <v>#N/A</v>
      </c>
      <c r="G259" s="119" t="n">
        <f aca="false">+IF(AND(startdate&lt;=E259,enddate&gt;=E259),1,0)</f>
        <v>0</v>
      </c>
      <c r="H259" s="120" t="str">
        <f aca="false">+IF($G259=0,"",(+VLOOKUP($E259,[1]!FIXED_CHARTER_COST,HLOOKUP(vessel_choice,[1]!FIXED_CHARTER_COST,2,0)+1,0)*roundtrip_days)/vessel_mmbtu)</f>
        <v/>
      </c>
      <c r="I259" s="120" t="str">
        <f aca="false">+IF($G259=0,"",(+VLOOKUP($E259,[1]!OM_CHARTER_COST,HLOOKUP(vessel_choice,[1]!OM_CHARTER_COST,2,0)+1,0)*roundtrip_days)/vessel_mmbtu)</f>
        <v/>
      </c>
      <c r="J259" s="120" t="str">
        <f aca="false">IF($G259=0,"",(INDEX([1]!bunker_cost,MATCH(route,[1]!bunker_cost_route,0),MATCH(vessel_choice,[1]!bunker_cost_ship,0))/vessel_mmbtu))</f>
        <v/>
      </c>
      <c r="K259" s="120" t="str">
        <f aca="false">IF($G259=0,"",(+INDEX([1]!PORT_CHARGES,MATCH(source,[1]!PORTS,0),MATCH(vessel,[1]!PORT_CHARGE_SHIPS,0))/vessel_mmbtu))</f>
        <v/>
      </c>
      <c r="L259" s="120" t="str">
        <f aca="false">IF($G259=0,"",(+INDEX([1]!PORT_CHARGES,MATCH(destination,[1]!PORTS,0),MATCH(vessel,[1]!PORT_CHARGE_SHIPS,0))/vessel_mmbtu))</f>
        <v/>
      </c>
      <c r="M259" s="120" t="str">
        <f aca="false">IF($G259=0,"",IF(route_choice=1,INDEX([1]!PORT_CHARGES,MATCH(suez,[1]!PORTS,0),MATCH(vessel,[1]!PORT_CHARGE_SHIPS,0)),0)/vessel_mmbtu)</f>
        <v/>
      </c>
      <c r="N259" s="120" t="str">
        <f aca="false">+IF(G259=0,"",+HLOOKUP(vessel,[1]!other_cost,3,0))</f>
        <v/>
      </c>
      <c r="O259" s="121" t="str">
        <f aca="false">+IF(G259=0,"",SUM(H259:N259))</f>
        <v/>
      </c>
      <c r="P259" s="88"/>
      <c r="Q259" s="90"/>
    </row>
    <row r="260" customFormat="false" ht="12.75" hidden="false" customHeight="false" outlineLevel="0" collapsed="false">
      <c r="E260" s="117" t="n">
        <f aca="false">+DATE(YEAR(E259),MONTH(E259)+1,1)</f>
        <v>53540</v>
      </c>
      <c r="F260" s="118" t="e">
        <f aca="false">+VLOOKUP(E260,[1]!curvecalc,3,0)</f>
        <v>#N/A</v>
      </c>
      <c r="G260" s="119" t="n">
        <f aca="false">+IF(AND(startdate&lt;=E260,enddate&gt;=E260),1,0)</f>
        <v>0</v>
      </c>
      <c r="H260" s="120" t="str">
        <f aca="false">+IF($G260=0,"",(+VLOOKUP($E260,[1]!FIXED_CHARTER_COST,HLOOKUP(vessel_choice,[1]!FIXED_CHARTER_COST,2,0)+1,0)*roundtrip_days)/vessel_mmbtu)</f>
        <v/>
      </c>
      <c r="I260" s="120" t="str">
        <f aca="false">+IF($G260=0,"",(+VLOOKUP($E260,[1]!OM_CHARTER_COST,HLOOKUP(vessel_choice,[1]!OM_CHARTER_COST,2,0)+1,0)*roundtrip_days)/vessel_mmbtu)</f>
        <v/>
      </c>
      <c r="J260" s="120" t="str">
        <f aca="false">IF($G260=0,"",(INDEX([1]!bunker_cost,MATCH(route,[1]!bunker_cost_route,0),MATCH(vessel_choice,[1]!bunker_cost_ship,0))/vessel_mmbtu))</f>
        <v/>
      </c>
      <c r="K260" s="120" t="str">
        <f aca="false">IF($G260=0,"",(+INDEX([1]!PORT_CHARGES,MATCH(source,[1]!PORTS,0),MATCH(vessel,[1]!PORT_CHARGE_SHIPS,0))/vessel_mmbtu))</f>
        <v/>
      </c>
      <c r="L260" s="120" t="str">
        <f aca="false">IF($G260=0,"",(+INDEX([1]!PORT_CHARGES,MATCH(destination,[1]!PORTS,0),MATCH(vessel,[1]!PORT_CHARGE_SHIPS,0))/vessel_mmbtu))</f>
        <v/>
      </c>
      <c r="M260" s="120" t="str">
        <f aca="false">IF($G260=0,"",IF(route_choice=1,INDEX([1]!PORT_CHARGES,MATCH(suez,[1]!PORTS,0),MATCH(vessel,[1]!PORT_CHARGE_SHIPS,0)),0)/vessel_mmbtu)</f>
        <v/>
      </c>
      <c r="N260" s="120" t="str">
        <f aca="false">+IF(G260=0,"",+HLOOKUP(vessel,[1]!other_cost,3,0))</f>
        <v/>
      </c>
      <c r="O260" s="121" t="str">
        <f aca="false">+IF(G260=0,"",SUM(H260:N260))</f>
        <v/>
      </c>
      <c r="P260" s="88"/>
      <c r="Q260" s="90"/>
    </row>
    <row r="261" customFormat="false" ht="12.75" hidden="false" customHeight="false" outlineLevel="0" collapsed="false">
      <c r="E261" s="117" t="n">
        <f aca="false">+DATE(YEAR(E260),MONTH(E260)+1,1)</f>
        <v>53571</v>
      </c>
      <c r="F261" s="118" t="e">
        <f aca="false">+VLOOKUP(E261,[1]!curvecalc,3,0)</f>
        <v>#N/A</v>
      </c>
      <c r="G261" s="119" t="n">
        <f aca="false">+IF(AND(startdate&lt;=E261,enddate&gt;=E261),1,0)</f>
        <v>0</v>
      </c>
      <c r="H261" s="120" t="str">
        <f aca="false">+IF($G261=0,"",(+VLOOKUP($E261,[1]!FIXED_CHARTER_COST,HLOOKUP(vessel_choice,[1]!FIXED_CHARTER_COST,2,0)+1,0)*roundtrip_days)/vessel_mmbtu)</f>
        <v/>
      </c>
      <c r="I261" s="120" t="str">
        <f aca="false">+IF($G261=0,"",(+VLOOKUP($E261,[1]!OM_CHARTER_COST,HLOOKUP(vessel_choice,[1]!OM_CHARTER_COST,2,0)+1,0)*roundtrip_days)/vessel_mmbtu)</f>
        <v/>
      </c>
      <c r="J261" s="120" t="str">
        <f aca="false">IF($G261=0,"",(INDEX([1]!bunker_cost,MATCH(route,[1]!bunker_cost_route,0),MATCH(vessel_choice,[1]!bunker_cost_ship,0))/vessel_mmbtu))</f>
        <v/>
      </c>
      <c r="K261" s="120" t="str">
        <f aca="false">IF($G261=0,"",(+INDEX([1]!PORT_CHARGES,MATCH(source,[1]!PORTS,0),MATCH(vessel,[1]!PORT_CHARGE_SHIPS,0))/vessel_mmbtu))</f>
        <v/>
      </c>
      <c r="L261" s="120" t="str">
        <f aca="false">IF($G261=0,"",(+INDEX([1]!PORT_CHARGES,MATCH(destination,[1]!PORTS,0),MATCH(vessel,[1]!PORT_CHARGE_SHIPS,0))/vessel_mmbtu))</f>
        <v/>
      </c>
      <c r="M261" s="120" t="str">
        <f aca="false">IF($G261=0,"",IF(route_choice=1,INDEX([1]!PORT_CHARGES,MATCH(suez,[1]!PORTS,0),MATCH(vessel,[1]!PORT_CHARGE_SHIPS,0)),0)/vessel_mmbtu)</f>
        <v/>
      </c>
      <c r="N261" s="120" t="str">
        <f aca="false">+IF(G261=0,"",+HLOOKUP(vessel,[1]!other_cost,3,0))</f>
        <v/>
      </c>
      <c r="O261" s="121" t="str">
        <f aca="false">+IF(G261=0,"",SUM(H261:N261))</f>
        <v/>
      </c>
      <c r="P261" s="88"/>
      <c r="Q261" s="90"/>
    </row>
    <row r="262" customFormat="false" ht="12.75" hidden="false" customHeight="false" outlineLevel="0" collapsed="false">
      <c r="E262" s="117" t="n">
        <f aca="false">+DATE(YEAR(E261),MONTH(E261)+1,1)</f>
        <v>53601</v>
      </c>
      <c r="F262" s="118" t="e">
        <f aca="false">+VLOOKUP(E262,[1]!curvecalc,3,0)</f>
        <v>#N/A</v>
      </c>
      <c r="G262" s="119" t="n">
        <f aca="false">+IF(AND(startdate&lt;=E262,enddate&gt;=E262),1,0)</f>
        <v>0</v>
      </c>
      <c r="H262" s="120" t="str">
        <f aca="false">+IF($G262=0,"",(+VLOOKUP($E262,[1]!FIXED_CHARTER_COST,HLOOKUP(vessel_choice,[1]!FIXED_CHARTER_COST,2,0)+1,0)*roundtrip_days)/vessel_mmbtu)</f>
        <v/>
      </c>
      <c r="I262" s="120" t="str">
        <f aca="false">+IF($G262=0,"",(+VLOOKUP($E262,[1]!OM_CHARTER_COST,HLOOKUP(vessel_choice,[1]!OM_CHARTER_COST,2,0)+1,0)*roundtrip_days)/vessel_mmbtu)</f>
        <v/>
      </c>
      <c r="J262" s="120" t="str">
        <f aca="false">IF($G262=0,"",(INDEX([1]!bunker_cost,MATCH(route,[1]!bunker_cost_route,0),MATCH(vessel_choice,[1]!bunker_cost_ship,0))/vessel_mmbtu))</f>
        <v/>
      </c>
      <c r="K262" s="120" t="str">
        <f aca="false">IF($G262=0,"",(+INDEX([1]!PORT_CHARGES,MATCH(source,[1]!PORTS,0),MATCH(vessel,[1]!PORT_CHARGE_SHIPS,0))/vessel_mmbtu))</f>
        <v/>
      </c>
      <c r="L262" s="120" t="str">
        <f aca="false">IF($G262=0,"",(+INDEX([1]!PORT_CHARGES,MATCH(destination,[1]!PORTS,0),MATCH(vessel,[1]!PORT_CHARGE_SHIPS,0))/vessel_mmbtu))</f>
        <v/>
      </c>
      <c r="M262" s="120" t="str">
        <f aca="false">IF($G262=0,"",IF(route_choice=1,INDEX([1]!PORT_CHARGES,MATCH(suez,[1]!PORTS,0),MATCH(vessel,[1]!PORT_CHARGE_SHIPS,0)),0)/vessel_mmbtu)</f>
        <v/>
      </c>
      <c r="N262" s="120" t="str">
        <f aca="false">+IF(G262=0,"",+HLOOKUP(vessel,[1]!other_cost,3,0))</f>
        <v/>
      </c>
      <c r="O262" s="121" t="str">
        <f aca="false">+IF(G262=0,"",SUM(H262:N262))</f>
        <v/>
      </c>
      <c r="P262" s="88"/>
      <c r="Q262" s="90"/>
    </row>
    <row r="263" customFormat="false" ht="12.75" hidden="false" customHeight="false" outlineLevel="0" collapsed="false">
      <c r="E263" s="117" t="n">
        <f aca="false">+DATE(YEAR(E262),MONTH(E262)+1,1)</f>
        <v>53632</v>
      </c>
      <c r="F263" s="118" t="e">
        <f aca="false">+VLOOKUP(E263,[1]!curvecalc,3,0)</f>
        <v>#N/A</v>
      </c>
      <c r="G263" s="119" t="n">
        <f aca="false">+IF(AND(startdate&lt;=E263,enddate&gt;=E263),1,0)</f>
        <v>0</v>
      </c>
      <c r="H263" s="120" t="str">
        <f aca="false">+IF($G263=0,"",(+VLOOKUP($E263,[1]!FIXED_CHARTER_COST,HLOOKUP(vessel_choice,[1]!FIXED_CHARTER_COST,2,0)+1,0)*roundtrip_days)/vessel_mmbtu)</f>
        <v/>
      </c>
      <c r="I263" s="120" t="str">
        <f aca="false">+IF($G263=0,"",(+VLOOKUP($E263,[1]!OM_CHARTER_COST,HLOOKUP(vessel_choice,[1]!OM_CHARTER_COST,2,0)+1,0)*roundtrip_days)/vessel_mmbtu)</f>
        <v/>
      </c>
      <c r="J263" s="120" t="str">
        <f aca="false">IF($G263=0,"",(INDEX([1]!bunker_cost,MATCH(route,[1]!bunker_cost_route,0),MATCH(vessel_choice,[1]!bunker_cost_ship,0))/vessel_mmbtu))</f>
        <v/>
      </c>
      <c r="K263" s="120" t="str">
        <f aca="false">IF($G263=0,"",(+INDEX([1]!PORT_CHARGES,MATCH(source,[1]!PORTS,0),MATCH(vessel,[1]!PORT_CHARGE_SHIPS,0))/vessel_mmbtu))</f>
        <v/>
      </c>
      <c r="L263" s="120" t="str">
        <f aca="false">IF($G263=0,"",(+INDEX([1]!PORT_CHARGES,MATCH(destination,[1]!PORTS,0),MATCH(vessel,[1]!PORT_CHARGE_SHIPS,0))/vessel_mmbtu))</f>
        <v/>
      </c>
      <c r="M263" s="120" t="str">
        <f aca="false">IF($G263=0,"",IF(route_choice=1,INDEX([1]!PORT_CHARGES,MATCH(suez,[1]!PORTS,0),MATCH(vessel,[1]!PORT_CHARGE_SHIPS,0)),0)/vessel_mmbtu)</f>
        <v/>
      </c>
      <c r="N263" s="120" t="str">
        <f aca="false">+IF(G263=0,"",+HLOOKUP(vessel,[1]!other_cost,3,0))</f>
        <v/>
      </c>
      <c r="O263" s="121" t="str">
        <f aca="false">+IF(G263=0,"",SUM(H263:N263))</f>
        <v/>
      </c>
      <c r="P263" s="88"/>
      <c r="Q263" s="90"/>
    </row>
    <row r="264" customFormat="false" ht="12.75" hidden="false" customHeight="false" outlineLevel="0" collapsed="false">
      <c r="E264" s="117" t="n">
        <f aca="false">+DATE(YEAR(E263),MONTH(E263)+1,1)</f>
        <v>53662</v>
      </c>
      <c r="F264" s="118" t="e">
        <f aca="false">+VLOOKUP(E264,[1]!curvecalc,3,0)</f>
        <v>#N/A</v>
      </c>
      <c r="G264" s="119" t="n">
        <f aca="false">+IF(AND(startdate&lt;=E264,enddate&gt;=E264),1,0)</f>
        <v>0</v>
      </c>
      <c r="H264" s="120" t="str">
        <f aca="false">+IF($G264=0,"",(+VLOOKUP($E264,[1]!FIXED_CHARTER_COST,HLOOKUP(vessel_choice,[1]!FIXED_CHARTER_COST,2,0)+1,0)*roundtrip_days)/vessel_mmbtu)</f>
        <v/>
      </c>
      <c r="I264" s="120" t="str">
        <f aca="false">+IF($G264=0,"",(+VLOOKUP($E264,[1]!OM_CHARTER_COST,HLOOKUP(vessel_choice,[1]!OM_CHARTER_COST,2,0)+1,0)*roundtrip_days)/vessel_mmbtu)</f>
        <v/>
      </c>
      <c r="J264" s="120" t="str">
        <f aca="false">IF($G264=0,"",(INDEX([1]!bunker_cost,MATCH(route,[1]!bunker_cost_route,0),MATCH(vessel_choice,[1]!bunker_cost_ship,0))/vessel_mmbtu))</f>
        <v/>
      </c>
      <c r="K264" s="120" t="str">
        <f aca="false">IF($G264=0,"",(+INDEX([1]!PORT_CHARGES,MATCH(source,[1]!PORTS,0),MATCH(vessel,[1]!PORT_CHARGE_SHIPS,0))/vessel_mmbtu))</f>
        <v/>
      </c>
      <c r="L264" s="120" t="str">
        <f aca="false">IF($G264=0,"",(+INDEX([1]!PORT_CHARGES,MATCH(destination,[1]!PORTS,0),MATCH(vessel,[1]!PORT_CHARGE_SHIPS,0))/vessel_mmbtu))</f>
        <v/>
      </c>
      <c r="M264" s="120" t="str">
        <f aca="false">IF($G264=0,"",IF(route_choice=1,INDEX([1]!PORT_CHARGES,MATCH(suez,[1]!PORTS,0),MATCH(vessel,[1]!PORT_CHARGE_SHIPS,0)),0)/vessel_mmbtu)</f>
        <v/>
      </c>
      <c r="N264" s="120" t="str">
        <f aca="false">+IF(G264=0,"",+HLOOKUP(vessel,[1]!other_cost,3,0))</f>
        <v/>
      </c>
      <c r="O264" s="121" t="str">
        <f aca="false">+IF(G264=0,"",SUM(H264:N264))</f>
        <v/>
      </c>
      <c r="P264" s="88"/>
      <c r="Q264" s="90"/>
    </row>
    <row r="265" customFormat="false" ht="12.75" hidden="false" customHeight="false" outlineLevel="0" collapsed="false">
      <c r="E265" s="117" t="n">
        <f aca="false">+DATE(YEAR(E264),MONTH(E264)+1,1)</f>
        <v>53693</v>
      </c>
      <c r="F265" s="118" t="e">
        <f aca="false">+VLOOKUP(E265,[1]!curvecalc,3,0)</f>
        <v>#N/A</v>
      </c>
      <c r="G265" s="119" t="n">
        <f aca="false">+IF(AND(startdate&lt;=E265,enddate&gt;=E265),1,0)</f>
        <v>0</v>
      </c>
      <c r="H265" s="120" t="str">
        <f aca="false">+IF($G265=0,"",(+VLOOKUP($E265,[1]!FIXED_CHARTER_COST,HLOOKUP(vessel_choice,[1]!FIXED_CHARTER_COST,2,0)+1,0)*roundtrip_days)/vessel_mmbtu)</f>
        <v/>
      </c>
      <c r="I265" s="120" t="str">
        <f aca="false">+IF($G265=0,"",(+VLOOKUP($E265,[1]!OM_CHARTER_COST,HLOOKUP(vessel_choice,[1]!OM_CHARTER_COST,2,0)+1,0)*roundtrip_days)/vessel_mmbtu)</f>
        <v/>
      </c>
      <c r="J265" s="120" t="str">
        <f aca="false">IF($G265=0,"",(INDEX([1]!bunker_cost,MATCH(route,[1]!bunker_cost_route,0),MATCH(vessel_choice,[1]!bunker_cost_ship,0))/vessel_mmbtu))</f>
        <v/>
      </c>
      <c r="K265" s="120" t="str">
        <f aca="false">IF($G265=0,"",(+INDEX([1]!PORT_CHARGES,MATCH(source,[1]!PORTS,0),MATCH(vessel,[1]!PORT_CHARGE_SHIPS,0))/vessel_mmbtu))</f>
        <v/>
      </c>
      <c r="L265" s="120" t="str">
        <f aca="false">IF($G265=0,"",(+INDEX([1]!PORT_CHARGES,MATCH(destination,[1]!PORTS,0),MATCH(vessel,[1]!PORT_CHARGE_SHIPS,0))/vessel_mmbtu))</f>
        <v/>
      </c>
      <c r="M265" s="120" t="str">
        <f aca="false">IF($G265=0,"",IF(route_choice=1,INDEX([1]!PORT_CHARGES,MATCH(suez,[1]!PORTS,0),MATCH(vessel,[1]!PORT_CHARGE_SHIPS,0)),0)/vessel_mmbtu)</f>
        <v/>
      </c>
      <c r="N265" s="120" t="str">
        <f aca="false">+IF(G265=0,"",+HLOOKUP(vessel,[1]!other_cost,3,0))</f>
        <v/>
      </c>
      <c r="O265" s="121" t="str">
        <f aca="false">+IF(G265=0,"",SUM(H265:N265))</f>
        <v/>
      </c>
      <c r="P265" s="88"/>
      <c r="Q265" s="90"/>
    </row>
    <row r="266" customFormat="false" ht="12.75" hidden="false" customHeight="false" outlineLevel="0" collapsed="false">
      <c r="E266" s="117" t="n">
        <f aca="false">+DATE(YEAR(E265),MONTH(E265)+1,1)</f>
        <v>53724</v>
      </c>
      <c r="F266" s="118" t="e">
        <f aca="false">+VLOOKUP(E266,[1]!curvecalc,3,0)</f>
        <v>#N/A</v>
      </c>
      <c r="G266" s="119" t="n">
        <f aca="false">+IF(AND(startdate&lt;=E266,enddate&gt;=E266),1,0)</f>
        <v>0</v>
      </c>
      <c r="H266" s="120" t="str">
        <f aca="false">+IF($G266=0,"",(+VLOOKUP($E266,[1]!FIXED_CHARTER_COST,HLOOKUP(vessel_choice,[1]!FIXED_CHARTER_COST,2,0)+1,0)*roundtrip_days)/vessel_mmbtu)</f>
        <v/>
      </c>
      <c r="I266" s="120" t="str">
        <f aca="false">+IF($G266=0,"",(+VLOOKUP($E266,[1]!OM_CHARTER_COST,HLOOKUP(vessel_choice,[1]!OM_CHARTER_COST,2,0)+1,0)*roundtrip_days)/vessel_mmbtu)</f>
        <v/>
      </c>
      <c r="J266" s="120" t="str">
        <f aca="false">IF($G266=0,"",(INDEX([1]!bunker_cost,MATCH(route,[1]!bunker_cost_route,0),MATCH(vessel_choice,[1]!bunker_cost_ship,0))/vessel_mmbtu))</f>
        <v/>
      </c>
      <c r="K266" s="120" t="str">
        <f aca="false">IF($G266=0,"",(+INDEX([1]!PORT_CHARGES,MATCH(source,[1]!PORTS,0),MATCH(vessel,[1]!PORT_CHARGE_SHIPS,0))/vessel_mmbtu))</f>
        <v/>
      </c>
      <c r="L266" s="120" t="str">
        <f aca="false">IF($G266=0,"",(+INDEX([1]!PORT_CHARGES,MATCH(destination,[1]!PORTS,0),MATCH(vessel,[1]!PORT_CHARGE_SHIPS,0))/vessel_mmbtu))</f>
        <v/>
      </c>
      <c r="M266" s="120" t="str">
        <f aca="false">IF($G266=0,"",IF(route_choice=1,INDEX([1]!PORT_CHARGES,MATCH(suez,[1]!PORTS,0),MATCH(vessel,[1]!PORT_CHARGE_SHIPS,0)),0)/vessel_mmbtu)</f>
        <v/>
      </c>
      <c r="N266" s="120" t="str">
        <f aca="false">+IF(G266=0,"",+HLOOKUP(vessel,[1]!other_cost,3,0))</f>
        <v/>
      </c>
      <c r="O266" s="121" t="str">
        <f aca="false">+IF(G266=0,"",SUM(H266:N266))</f>
        <v/>
      </c>
      <c r="P266" s="88"/>
      <c r="Q266" s="90"/>
    </row>
    <row r="267" customFormat="false" ht="12.75" hidden="false" customHeight="false" outlineLevel="0" collapsed="false">
      <c r="E267" s="117" t="n">
        <f aca="false">+DATE(YEAR(E266),MONTH(E266)+1,1)</f>
        <v>53752</v>
      </c>
      <c r="F267" s="118" t="e">
        <f aca="false">+VLOOKUP(E267,[1]!curvecalc,3,0)</f>
        <v>#N/A</v>
      </c>
      <c r="G267" s="119" t="n">
        <f aca="false">+IF(AND(startdate&lt;=E267,enddate&gt;=E267),1,0)</f>
        <v>0</v>
      </c>
      <c r="H267" s="120" t="str">
        <f aca="false">+IF($G267=0,"",(+VLOOKUP($E267,[1]!FIXED_CHARTER_COST,HLOOKUP(vessel_choice,[1]!FIXED_CHARTER_COST,2,0)+1,0)*roundtrip_days)/vessel_mmbtu)</f>
        <v/>
      </c>
      <c r="I267" s="120" t="str">
        <f aca="false">+IF($G267=0,"",(+VLOOKUP($E267,[1]!OM_CHARTER_COST,HLOOKUP(vessel_choice,[1]!OM_CHARTER_COST,2,0)+1,0)*roundtrip_days)/vessel_mmbtu)</f>
        <v/>
      </c>
      <c r="J267" s="120" t="str">
        <f aca="false">IF($G267=0,"",(INDEX([1]!bunker_cost,MATCH(route,[1]!bunker_cost_route,0),MATCH(vessel_choice,[1]!bunker_cost_ship,0))/vessel_mmbtu))</f>
        <v/>
      </c>
      <c r="K267" s="120" t="str">
        <f aca="false">IF($G267=0,"",(+INDEX([1]!PORT_CHARGES,MATCH(source,[1]!PORTS,0),MATCH(vessel,[1]!PORT_CHARGE_SHIPS,0))/vessel_mmbtu))</f>
        <v/>
      </c>
      <c r="L267" s="120" t="str">
        <f aca="false">IF($G267=0,"",(+INDEX([1]!PORT_CHARGES,MATCH(destination,[1]!PORTS,0),MATCH(vessel,[1]!PORT_CHARGE_SHIPS,0))/vessel_mmbtu))</f>
        <v/>
      </c>
      <c r="M267" s="120" t="str">
        <f aca="false">IF($G267=0,"",IF(route_choice=1,INDEX([1]!PORT_CHARGES,MATCH(suez,[1]!PORTS,0),MATCH(vessel,[1]!PORT_CHARGE_SHIPS,0)),0)/vessel_mmbtu)</f>
        <v/>
      </c>
      <c r="N267" s="120" t="str">
        <f aca="false">+IF(G267=0,"",+HLOOKUP(vessel,[1]!other_cost,3,0))</f>
        <v/>
      </c>
      <c r="O267" s="121" t="str">
        <f aca="false">+IF(G267=0,"",SUM(H267:N267))</f>
        <v/>
      </c>
      <c r="P267" s="88"/>
      <c r="Q267" s="90"/>
    </row>
    <row r="268" customFormat="false" ht="12.75" hidden="false" customHeight="false" outlineLevel="0" collapsed="false">
      <c r="E268" s="117" t="n">
        <f aca="false">+DATE(YEAR(E267),MONTH(E267)+1,1)</f>
        <v>53783</v>
      </c>
      <c r="F268" s="118" t="e">
        <f aca="false">+VLOOKUP(E268,[1]!curvecalc,3,0)</f>
        <v>#N/A</v>
      </c>
      <c r="G268" s="119" t="n">
        <f aca="false">+IF(AND(startdate&lt;=E268,enddate&gt;=E268),1,0)</f>
        <v>0</v>
      </c>
      <c r="H268" s="120" t="str">
        <f aca="false">+IF($G268=0,"",(+VLOOKUP($E268,[1]!FIXED_CHARTER_COST,HLOOKUP(vessel_choice,[1]!FIXED_CHARTER_COST,2,0)+1,0)*roundtrip_days)/vessel_mmbtu)</f>
        <v/>
      </c>
      <c r="I268" s="120" t="str">
        <f aca="false">+IF($G268=0,"",(+VLOOKUP($E268,[1]!OM_CHARTER_COST,HLOOKUP(vessel_choice,[1]!OM_CHARTER_COST,2,0)+1,0)*roundtrip_days)/vessel_mmbtu)</f>
        <v/>
      </c>
      <c r="J268" s="120" t="str">
        <f aca="false">IF($G268=0,"",(INDEX([1]!bunker_cost,MATCH(route,[1]!bunker_cost_route,0),MATCH(vessel_choice,[1]!bunker_cost_ship,0))/vessel_mmbtu))</f>
        <v/>
      </c>
      <c r="K268" s="120" t="str">
        <f aca="false">IF($G268=0,"",(+INDEX([1]!PORT_CHARGES,MATCH(source,[1]!PORTS,0),MATCH(vessel,[1]!PORT_CHARGE_SHIPS,0))/vessel_mmbtu))</f>
        <v/>
      </c>
      <c r="L268" s="120" t="str">
        <f aca="false">IF($G268=0,"",(+INDEX([1]!PORT_CHARGES,MATCH(destination,[1]!PORTS,0),MATCH(vessel,[1]!PORT_CHARGE_SHIPS,0))/vessel_mmbtu))</f>
        <v/>
      </c>
      <c r="M268" s="120" t="str">
        <f aca="false">IF($G268=0,"",IF(route_choice=1,INDEX([1]!PORT_CHARGES,MATCH(suez,[1]!PORTS,0),MATCH(vessel,[1]!PORT_CHARGE_SHIPS,0)),0)/vessel_mmbtu)</f>
        <v/>
      </c>
      <c r="N268" s="120" t="str">
        <f aca="false">+IF(G268=0,"",+HLOOKUP(vessel,[1]!other_cost,3,0))</f>
        <v/>
      </c>
      <c r="O268" s="121" t="str">
        <f aca="false">+IF(G268=0,"",SUM(H268:N268))</f>
        <v/>
      </c>
      <c r="P268" s="88"/>
      <c r="Q268" s="90"/>
    </row>
    <row r="269" customFormat="false" ht="12.75" hidden="false" customHeight="false" outlineLevel="0" collapsed="false">
      <c r="E269" s="117" t="n">
        <f aca="false">+DATE(YEAR(E268),MONTH(E268)+1,1)</f>
        <v>53813</v>
      </c>
      <c r="F269" s="118" t="e">
        <f aca="false">+VLOOKUP(E269,[1]!curvecalc,3,0)</f>
        <v>#N/A</v>
      </c>
      <c r="G269" s="119" t="n">
        <f aca="false">+IF(AND(startdate&lt;=E269,enddate&gt;=E269),1,0)</f>
        <v>0</v>
      </c>
      <c r="H269" s="120" t="str">
        <f aca="false">+IF($G269=0,"",(+VLOOKUP($E269,[1]!FIXED_CHARTER_COST,HLOOKUP(vessel_choice,[1]!FIXED_CHARTER_COST,2,0)+1,0)*roundtrip_days)/vessel_mmbtu)</f>
        <v/>
      </c>
      <c r="I269" s="120" t="str">
        <f aca="false">+IF($G269=0,"",(+VLOOKUP($E269,[1]!OM_CHARTER_COST,HLOOKUP(vessel_choice,[1]!OM_CHARTER_COST,2,0)+1,0)*roundtrip_days)/vessel_mmbtu)</f>
        <v/>
      </c>
      <c r="J269" s="120" t="str">
        <f aca="false">IF($G269=0,"",(INDEX([1]!bunker_cost,MATCH(route,[1]!bunker_cost_route,0),MATCH(vessel_choice,[1]!bunker_cost_ship,0))/vessel_mmbtu))</f>
        <v/>
      </c>
      <c r="K269" s="120" t="str">
        <f aca="false">IF($G269=0,"",(+INDEX([1]!PORT_CHARGES,MATCH(source,[1]!PORTS,0),MATCH(vessel,[1]!PORT_CHARGE_SHIPS,0))/vessel_mmbtu))</f>
        <v/>
      </c>
      <c r="L269" s="120" t="str">
        <f aca="false">IF($G269=0,"",(+INDEX([1]!PORT_CHARGES,MATCH(destination,[1]!PORTS,0),MATCH(vessel,[1]!PORT_CHARGE_SHIPS,0))/vessel_mmbtu))</f>
        <v/>
      </c>
      <c r="M269" s="120" t="str">
        <f aca="false">IF($G269=0,"",IF(route_choice=1,INDEX([1]!PORT_CHARGES,MATCH(suez,[1]!PORTS,0),MATCH(vessel,[1]!PORT_CHARGE_SHIPS,0)),0)/vessel_mmbtu)</f>
        <v/>
      </c>
      <c r="N269" s="120" t="str">
        <f aca="false">+IF(G269=0,"",+HLOOKUP(vessel,[1]!other_cost,3,0))</f>
        <v/>
      </c>
      <c r="O269" s="121" t="str">
        <f aca="false">+IF(G269=0,"",SUM(H269:N269))</f>
        <v/>
      </c>
      <c r="P269" s="88"/>
      <c r="Q269" s="90"/>
    </row>
    <row r="270" customFormat="false" ht="12.75" hidden="false" customHeight="false" outlineLevel="0" collapsed="false">
      <c r="E270" s="117" t="n">
        <f aca="false">+DATE(YEAR(E269),MONTH(E269)+1,1)</f>
        <v>53844</v>
      </c>
      <c r="F270" s="118" t="e">
        <f aca="false">+VLOOKUP(E270,[1]!curvecalc,3,0)</f>
        <v>#N/A</v>
      </c>
      <c r="G270" s="119" t="n">
        <f aca="false">+IF(AND(startdate&lt;=E270,enddate&gt;=E270),1,0)</f>
        <v>0</v>
      </c>
      <c r="H270" s="120" t="str">
        <f aca="false">+IF($G270=0,"",(+VLOOKUP($E270,[1]!FIXED_CHARTER_COST,HLOOKUP(vessel_choice,[1]!FIXED_CHARTER_COST,2,0)+1,0)*roundtrip_days)/vessel_mmbtu)</f>
        <v/>
      </c>
      <c r="I270" s="120" t="str">
        <f aca="false">+IF($G270=0,"",(+VLOOKUP($E270,[1]!OM_CHARTER_COST,HLOOKUP(vessel_choice,[1]!OM_CHARTER_COST,2,0)+1,0)*roundtrip_days)/vessel_mmbtu)</f>
        <v/>
      </c>
      <c r="J270" s="120" t="str">
        <f aca="false">IF($G270=0,"",(INDEX([1]!bunker_cost,MATCH(route,[1]!bunker_cost_route,0),MATCH(vessel_choice,[1]!bunker_cost_ship,0))/vessel_mmbtu))</f>
        <v/>
      </c>
      <c r="K270" s="120" t="str">
        <f aca="false">IF($G270=0,"",(+INDEX([1]!PORT_CHARGES,MATCH(source,[1]!PORTS,0),MATCH(vessel,[1]!PORT_CHARGE_SHIPS,0))/vessel_mmbtu))</f>
        <v/>
      </c>
      <c r="L270" s="120" t="str">
        <f aca="false">IF($G270=0,"",(+INDEX([1]!PORT_CHARGES,MATCH(destination,[1]!PORTS,0),MATCH(vessel,[1]!PORT_CHARGE_SHIPS,0))/vessel_mmbtu))</f>
        <v/>
      </c>
      <c r="M270" s="120" t="str">
        <f aca="false">IF($G270=0,"",IF(route_choice=1,INDEX([1]!PORT_CHARGES,MATCH(suez,[1]!PORTS,0),MATCH(vessel,[1]!PORT_CHARGE_SHIPS,0)),0)/vessel_mmbtu)</f>
        <v/>
      </c>
      <c r="N270" s="120" t="str">
        <f aca="false">+IF(G270=0,"",+HLOOKUP(vessel,[1]!other_cost,3,0))</f>
        <v/>
      </c>
      <c r="O270" s="121" t="str">
        <f aca="false">+IF(G270=0,"",SUM(H270:N270))</f>
        <v/>
      </c>
      <c r="P270" s="88"/>
      <c r="Q270" s="90"/>
    </row>
    <row r="271" customFormat="false" ht="12.75" hidden="false" customHeight="false" outlineLevel="0" collapsed="false">
      <c r="E271" s="117" t="n">
        <f aca="false">+DATE(YEAR(E270),MONTH(E270)+1,1)</f>
        <v>53874</v>
      </c>
      <c r="F271" s="118" t="e">
        <f aca="false">+VLOOKUP(E271,[1]!curvecalc,3,0)</f>
        <v>#N/A</v>
      </c>
      <c r="G271" s="119" t="n">
        <f aca="false">+IF(AND(startdate&lt;=E271,enddate&gt;=E271),1,0)</f>
        <v>0</v>
      </c>
      <c r="H271" s="120" t="str">
        <f aca="false">+IF($G271=0,"",(+VLOOKUP($E271,[1]!FIXED_CHARTER_COST,HLOOKUP(vessel_choice,[1]!FIXED_CHARTER_COST,2,0)+1,0)*roundtrip_days)/vessel_mmbtu)</f>
        <v/>
      </c>
      <c r="I271" s="120" t="str">
        <f aca="false">+IF($G271=0,"",(+VLOOKUP($E271,[1]!OM_CHARTER_COST,HLOOKUP(vessel_choice,[1]!OM_CHARTER_COST,2,0)+1,0)*roundtrip_days)/vessel_mmbtu)</f>
        <v/>
      </c>
      <c r="J271" s="120" t="str">
        <f aca="false">IF($G271=0,"",(INDEX([1]!bunker_cost,MATCH(route,[1]!bunker_cost_route,0),MATCH(vessel_choice,[1]!bunker_cost_ship,0))/vessel_mmbtu))</f>
        <v/>
      </c>
      <c r="K271" s="120" t="str">
        <f aca="false">IF($G271=0,"",(+INDEX([1]!PORT_CHARGES,MATCH(source,[1]!PORTS,0),MATCH(vessel,[1]!PORT_CHARGE_SHIPS,0))/vessel_mmbtu))</f>
        <v/>
      </c>
      <c r="L271" s="120" t="str">
        <f aca="false">IF($G271=0,"",(+INDEX([1]!PORT_CHARGES,MATCH(destination,[1]!PORTS,0),MATCH(vessel,[1]!PORT_CHARGE_SHIPS,0))/vessel_mmbtu))</f>
        <v/>
      </c>
      <c r="M271" s="120" t="str">
        <f aca="false">IF($G271=0,"",IF(route_choice=1,INDEX([1]!PORT_CHARGES,MATCH(suez,[1]!PORTS,0),MATCH(vessel,[1]!PORT_CHARGE_SHIPS,0)),0)/vessel_mmbtu)</f>
        <v/>
      </c>
      <c r="N271" s="120" t="str">
        <f aca="false">+IF(G271=0,"",+HLOOKUP(vessel,[1]!other_cost,3,0))</f>
        <v/>
      </c>
      <c r="O271" s="121" t="str">
        <f aca="false">+IF(G271=0,"",SUM(H271:N271))</f>
        <v/>
      </c>
      <c r="P271" s="88"/>
      <c r="Q271" s="90"/>
    </row>
    <row r="272" customFormat="false" ht="12.75" hidden="false" customHeight="false" outlineLevel="0" collapsed="false">
      <c r="E272" s="117" t="n">
        <f aca="false">+DATE(YEAR(E271),MONTH(E271)+1,1)</f>
        <v>53905</v>
      </c>
      <c r="F272" s="118" t="e">
        <f aca="false">+VLOOKUP(E272,[1]!curvecalc,3,0)</f>
        <v>#N/A</v>
      </c>
      <c r="G272" s="119" t="n">
        <f aca="false">+IF(AND(startdate&lt;=E272,enddate&gt;=E272),1,0)</f>
        <v>0</v>
      </c>
      <c r="H272" s="120" t="str">
        <f aca="false">+IF($G272=0,"",(+VLOOKUP($E272,[1]!FIXED_CHARTER_COST,HLOOKUP(vessel_choice,[1]!FIXED_CHARTER_COST,2,0)+1,0)*roundtrip_days)/vessel_mmbtu)</f>
        <v/>
      </c>
      <c r="I272" s="120" t="str">
        <f aca="false">+IF($G272=0,"",(+VLOOKUP($E272,[1]!OM_CHARTER_COST,HLOOKUP(vessel_choice,[1]!OM_CHARTER_COST,2,0)+1,0)*roundtrip_days)/vessel_mmbtu)</f>
        <v/>
      </c>
      <c r="J272" s="120" t="str">
        <f aca="false">IF($G272=0,"",(INDEX([1]!bunker_cost,MATCH(route,[1]!bunker_cost_route,0),MATCH(vessel_choice,[1]!bunker_cost_ship,0))/vessel_mmbtu))</f>
        <v/>
      </c>
      <c r="K272" s="120" t="str">
        <f aca="false">IF($G272=0,"",(+INDEX([1]!PORT_CHARGES,MATCH(source,[1]!PORTS,0),MATCH(vessel,[1]!PORT_CHARGE_SHIPS,0))/vessel_mmbtu))</f>
        <v/>
      </c>
      <c r="L272" s="120" t="str">
        <f aca="false">IF($G272=0,"",(+INDEX([1]!PORT_CHARGES,MATCH(destination,[1]!PORTS,0),MATCH(vessel,[1]!PORT_CHARGE_SHIPS,0))/vessel_mmbtu))</f>
        <v/>
      </c>
      <c r="M272" s="120" t="str">
        <f aca="false">IF($G272=0,"",IF(route_choice=1,INDEX([1]!PORT_CHARGES,MATCH(suez,[1]!PORTS,0),MATCH(vessel,[1]!PORT_CHARGE_SHIPS,0)),0)/vessel_mmbtu)</f>
        <v/>
      </c>
      <c r="N272" s="120" t="str">
        <f aca="false">+IF(G272=0,"",+HLOOKUP(vessel,[1]!other_cost,3,0))</f>
        <v/>
      </c>
      <c r="O272" s="121" t="str">
        <f aca="false">+IF(G272=0,"",SUM(H272:N272))</f>
        <v/>
      </c>
      <c r="P272" s="88"/>
      <c r="Q272" s="90"/>
    </row>
    <row r="273" customFormat="false" ht="12.75" hidden="false" customHeight="false" outlineLevel="0" collapsed="false">
      <c r="E273" s="117" t="n">
        <f aca="false">+DATE(YEAR(E272),MONTH(E272)+1,1)</f>
        <v>53936</v>
      </c>
      <c r="F273" s="118" t="e">
        <f aca="false">+VLOOKUP(E273,[1]!curvecalc,3,0)</f>
        <v>#N/A</v>
      </c>
      <c r="G273" s="119" t="n">
        <f aca="false">+IF(AND(startdate&lt;=E273,enddate&gt;=E273),1,0)</f>
        <v>0</v>
      </c>
      <c r="H273" s="120" t="str">
        <f aca="false">+IF($G273=0,"",(+VLOOKUP($E273,[1]!FIXED_CHARTER_COST,HLOOKUP(vessel_choice,[1]!FIXED_CHARTER_COST,2,0)+1,0)*roundtrip_days)/vessel_mmbtu)</f>
        <v/>
      </c>
      <c r="I273" s="120" t="str">
        <f aca="false">+IF($G273=0,"",(+VLOOKUP($E273,[1]!OM_CHARTER_COST,HLOOKUP(vessel_choice,[1]!OM_CHARTER_COST,2,0)+1,0)*roundtrip_days)/vessel_mmbtu)</f>
        <v/>
      </c>
      <c r="J273" s="120" t="str">
        <f aca="false">IF($G273=0,"",(INDEX([1]!bunker_cost,MATCH(route,[1]!bunker_cost_route,0),MATCH(vessel_choice,[1]!bunker_cost_ship,0))/vessel_mmbtu))</f>
        <v/>
      </c>
      <c r="K273" s="120" t="str">
        <f aca="false">IF($G273=0,"",(+INDEX([1]!PORT_CHARGES,MATCH(source,[1]!PORTS,0),MATCH(vessel,[1]!PORT_CHARGE_SHIPS,0))/vessel_mmbtu))</f>
        <v/>
      </c>
      <c r="L273" s="120" t="str">
        <f aca="false">IF($G273=0,"",(+INDEX([1]!PORT_CHARGES,MATCH(destination,[1]!PORTS,0),MATCH(vessel,[1]!PORT_CHARGE_SHIPS,0))/vessel_mmbtu))</f>
        <v/>
      </c>
      <c r="M273" s="120" t="str">
        <f aca="false">IF($G273=0,"",IF(route_choice=1,INDEX([1]!PORT_CHARGES,MATCH(suez,[1]!PORTS,0),MATCH(vessel,[1]!PORT_CHARGE_SHIPS,0)),0)/vessel_mmbtu)</f>
        <v/>
      </c>
      <c r="N273" s="120" t="str">
        <f aca="false">+IF(G273=0,"",+HLOOKUP(vessel,[1]!other_cost,3,0))</f>
        <v/>
      </c>
      <c r="O273" s="121" t="str">
        <f aca="false">+IF(G273=0,"",SUM(H273:N273))</f>
        <v/>
      </c>
      <c r="P273" s="88"/>
      <c r="Q273" s="90"/>
    </row>
    <row r="274" customFormat="false" ht="12.75" hidden="false" customHeight="false" outlineLevel="0" collapsed="false">
      <c r="E274" s="117" t="n">
        <f aca="false">+DATE(YEAR(E273),MONTH(E273)+1,1)</f>
        <v>53966</v>
      </c>
      <c r="F274" s="118" t="e">
        <f aca="false">+VLOOKUP(E274,[1]!curvecalc,3,0)</f>
        <v>#N/A</v>
      </c>
      <c r="G274" s="119" t="n">
        <f aca="false">+IF(AND(startdate&lt;=E274,enddate&gt;=E274),1,0)</f>
        <v>0</v>
      </c>
      <c r="H274" s="120" t="str">
        <f aca="false">+IF($G274=0,"",(+VLOOKUP($E274,[1]!FIXED_CHARTER_COST,HLOOKUP(vessel_choice,[1]!FIXED_CHARTER_COST,2,0)+1,0)*roundtrip_days)/vessel_mmbtu)</f>
        <v/>
      </c>
      <c r="I274" s="120" t="str">
        <f aca="false">+IF($G274=0,"",(+VLOOKUP($E274,[1]!OM_CHARTER_COST,HLOOKUP(vessel_choice,[1]!OM_CHARTER_COST,2,0)+1,0)*roundtrip_days)/vessel_mmbtu)</f>
        <v/>
      </c>
      <c r="J274" s="120" t="str">
        <f aca="false">IF($G274=0,"",(INDEX([1]!bunker_cost,MATCH(route,[1]!bunker_cost_route,0),MATCH(vessel_choice,[1]!bunker_cost_ship,0))/vessel_mmbtu))</f>
        <v/>
      </c>
      <c r="K274" s="120" t="str">
        <f aca="false">IF($G274=0,"",(+INDEX([1]!PORT_CHARGES,MATCH(source,[1]!PORTS,0),MATCH(vessel,[1]!PORT_CHARGE_SHIPS,0))/vessel_mmbtu))</f>
        <v/>
      </c>
      <c r="L274" s="120" t="str">
        <f aca="false">IF($G274=0,"",(+INDEX([1]!PORT_CHARGES,MATCH(destination,[1]!PORTS,0),MATCH(vessel,[1]!PORT_CHARGE_SHIPS,0))/vessel_mmbtu))</f>
        <v/>
      </c>
      <c r="M274" s="120" t="str">
        <f aca="false">IF($G274=0,"",IF(route_choice=1,INDEX([1]!PORT_CHARGES,MATCH(suez,[1]!PORTS,0),MATCH(vessel,[1]!PORT_CHARGE_SHIPS,0)),0)/vessel_mmbtu)</f>
        <v/>
      </c>
      <c r="N274" s="120" t="str">
        <f aca="false">+IF(G274=0,"",+HLOOKUP(vessel,[1]!other_cost,3,0))</f>
        <v/>
      </c>
      <c r="O274" s="121" t="str">
        <f aca="false">+IF(G274=0,"",SUM(H274:N274))</f>
        <v/>
      </c>
      <c r="P274" s="88"/>
      <c r="Q274" s="90"/>
    </row>
    <row r="275" customFormat="false" ht="12.75" hidden="false" customHeight="false" outlineLevel="0" collapsed="false">
      <c r="E275" s="117" t="n">
        <f aca="false">+DATE(YEAR(E274),MONTH(E274)+1,1)</f>
        <v>53997</v>
      </c>
      <c r="F275" s="118" t="e">
        <f aca="false">+VLOOKUP(E275,[1]!curvecalc,3,0)</f>
        <v>#N/A</v>
      </c>
      <c r="G275" s="119" t="n">
        <f aca="false">+IF(AND(startdate&lt;=E275,enddate&gt;=E275),1,0)</f>
        <v>0</v>
      </c>
      <c r="H275" s="120" t="str">
        <f aca="false">+IF($G275=0,"",(+VLOOKUP($E275,[1]!FIXED_CHARTER_COST,HLOOKUP(vessel_choice,[1]!FIXED_CHARTER_COST,2,0)+1,0)*roundtrip_days)/vessel_mmbtu)</f>
        <v/>
      </c>
      <c r="I275" s="120" t="str">
        <f aca="false">+IF($G275=0,"",(+VLOOKUP($E275,[1]!OM_CHARTER_COST,HLOOKUP(vessel_choice,[1]!OM_CHARTER_COST,2,0)+1,0)*roundtrip_days)/vessel_mmbtu)</f>
        <v/>
      </c>
      <c r="J275" s="120" t="str">
        <f aca="false">IF($G275=0,"",(INDEX([1]!bunker_cost,MATCH(route,[1]!bunker_cost_route,0),MATCH(vessel_choice,[1]!bunker_cost_ship,0))/vessel_mmbtu))</f>
        <v/>
      </c>
      <c r="K275" s="120" t="str">
        <f aca="false">IF($G275=0,"",(+INDEX([1]!PORT_CHARGES,MATCH(source,[1]!PORTS,0),MATCH(vessel,[1]!PORT_CHARGE_SHIPS,0))/vessel_mmbtu))</f>
        <v/>
      </c>
      <c r="L275" s="120" t="str">
        <f aca="false">IF($G275=0,"",(+INDEX([1]!PORT_CHARGES,MATCH(destination,[1]!PORTS,0),MATCH(vessel,[1]!PORT_CHARGE_SHIPS,0))/vessel_mmbtu))</f>
        <v/>
      </c>
      <c r="M275" s="120" t="str">
        <f aca="false">IF($G275=0,"",IF(route_choice=1,INDEX([1]!PORT_CHARGES,MATCH(suez,[1]!PORTS,0),MATCH(vessel,[1]!PORT_CHARGE_SHIPS,0)),0)/vessel_mmbtu)</f>
        <v/>
      </c>
      <c r="N275" s="120" t="str">
        <f aca="false">+IF(G275=0,"",+HLOOKUP(vessel,[1]!other_cost,3,0))</f>
        <v/>
      </c>
      <c r="O275" s="121" t="str">
        <f aca="false">+IF(G275=0,"",SUM(H275:N275))</f>
        <v/>
      </c>
      <c r="P275" s="88"/>
      <c r="Q275" s="90"/>
    </row>
    <row r="276" customFormat="false" ht="12.75" hidden="false" customHeight="false" outlineLevel="0" collapsed="false">
      <c r="E276" s="117" t="n">
        <f aca="false">+DATE(YEAR(E275),MONTH(E275)+1,1)</f>
        <v>54027</v>
      </c>
      <c r="F276" s="118" t="e">
        <f aca="false">+VLOOKUP(E276,[1]!curvecalc,3,0)</f>
        <v>#N/A</v>
      </c>
      <c r="G276" s="119" t="n">
        <f aca="false">+IF(AND(startdate&lt;=E276,enddate&gt;=E276),1,0)</f>
        <v>0</v>
      </c>
      <c r="H276" s="120" t="str">
        <f aca="false">+IF($G276=0,"",(+VLOOKUP($E276,[1]!FIXED_CHARTER_COST,HLOOKUP(vessel_choice,[1]!FIXED_CHARTER_COST,2,0)+1,0)*roundtrip_days)/vessel_mmbtu)</f>
        <v/>
      </c>
      <c r="I276" s="120" t="str">
        <f aca="false">+IF($G276=0,"",(+VLOOKUP($E276,[1]!OM_CHARTER_COST,HLOOKUP(vessel_choice,[1]!OM_CHARTER_COST,2,0)+1,0)*roundtrip_days)/vessel_mmbtu)</f>
        <v/>
      </c>
      <c r="J276" s="120" t="str">
        <f aca="false">IF($G276=0,"",(INDEX([1]!bunker_cost,MATCH(route,[1]!bunker_cost_route,0),MATCH(vessel_choice,[1]!bunker_cost_ship,0))/vessel_mmbtu))</f>
        <v/>
      </c>
      <c r="K276" s="120" t="str">
        <f aca="false">IF($G276=0,"",(+INDEX([1]!PORT_CHARGES,MATCH(source,[1]!PORTS,0),MATCH(vessel,[1]!PORT_CHARGE_SHIPS,0))/vessel_mmbtu))</f>
        <v/>
      </c>
      <c r="L276" s="120" t="str">
        <f aca="false">IF($G276=0,"",(+INDEX([1]!PORT_CHARGES,MATCH(destination,[1]!PORTS,0),MATCH(vessel,[1]!PORT_CHARGE_SHIPS,0))/vessel_mmbtu))</f>
        <v/>
      </c>
      <c r="M276" s="120" t="str">
        <f aca="false">IF($G276=0,"",IF(route_choice=1,INDEX([1]!PORT_CHARGES,MATCH(suez,[1]!PORTS,0),MATCH(vessel,[1]!PORT_CHARGE_SHIPS,0)),0)/vessel_mmbtu)</f>
        <v/>
      </c>
      <c r="N276" s="120" t="str">
        <f aca="false">+IF(G276=0,"",+HLOOKUP(vessel,[1]!other_cost,3,0))</f>
        <v/>
      </c>
      <c r="O276" s="121" t="str">
        <f aca="false">+IF(G276=0,"",SUM(H276:N276))</f>
        <v/>
      </c>
      <c r="P276" s="88"/>
      <c r="Q276" s="90"/>
    </row>
    <row r="277" customFormat="false" ht="12.75" hidden="false" customHeight="false" outlineLevel="0" collapsed="false">
      <c r="E277" s="117" t="n">
        <f aca="false">+DATE(YEAR(E276),MONTH(E276)+1,1)</f>
        <v>54058</v>
      </c>
      <c r="F277" s="118" t="e">
        <f aca="false">+VLOOKUP(E277,[1]!curvecalc,3,0)</f>
        <v>#N/A</v>
      </c>
      <c r="G277" s="119" t="n">
        <f aca="false">+IF(AND(startdate&lt;=E277,enddate&gt;=E277),1,0)</f>
        <v>0</v>
      </c>
      <c r="H277" s="120" t="str">
        <f aca="false">+IF($G277=0,"",(+VLOOKUP($E277,[1]!FIXED_CHARTER_COST,HLOOKUP(vessel_choice,[1]!FIXED_CHARTER_COST,2,0)+1,0)*roundtrip_days)/vessel_mmbtu)</f>
        <v/>
      </c>
      <c r="I277" s="120" t="str">
        <f aca="false">+IF($G277=0,"",(+VLOOKUP($E277,[1]!OM_CHARTER_COST,HLOOKUP(vessel_choice,[1]!OM_CHARTER_COST,2,0)+1,0)*roundtrip_days)/vessel_mmbtu)</f>
        <v/>
      </c>
      <c r="J277" s="120" t="str">
        <f aca="false">IF($G277=0,"",(INDEX([1]!bunker_cost,MATCH(route,[1]!bunker_cost_route,0),MATCH(vessel_choice,[1]!bunker_cost_ship,0))/vessel_mmbtu))</f>
        <v/>
      </c>
      <c r="K277" s="120" t="str">
        <f aca="false">IF($G277=0,"",(+INDEX([1]!PORT_CHARGES,MATCH(source,[1]!PORTS,0),MATCH(vessel,[1]!PORT_CHARGE_SHIPS,0))/vessel_mmbtu))</f>
        <v/>
      </c>
      <c r="L277" s="120" t="str">
        <f aca="false">IF($G277=0,"",(+INDEX([1]!PORT_CHARGES,MATCH(destination,[1]!PORTS,0),MATCH(vessel,[1]!PORT_CHARGE_SHIPS,0))/vessel_mmbtu))</f>
        <v/>
      </c>
      <c r="M277" s="120" t="str">
        <f aca="false">IF($G277=0,"",IF(route_choice=1,INDEX([1]!PORT_CHARGES,MATCH(suez,[1]!PORTS,0),MATCH(vessel,[1]!PORT_CHARGE_SHIPS,0)),0)/vessel_mmbtu)</f>
        <v/>
      </c>
      <c r="N277" s="120" t="str">
        <f aca="false">+IF(G277=0,"",+HLOOKUP(vessel,[1]!other_cost,3,0))</f>
        <v/>
      </c>
      <c r="O277" s="121" t="str">
        <f aca="false">+IF(G277=0,"",SUM(H277:N277))</f>
        <v/>
      </c>
      <c r="P277" s="88"/>
      <c r="Q277" s="90"/>
    </row>
    <row r="278" customFormat="false" ht="12.75" hidden="false" customHeight="false" outlineLevel="0" collapsed="false">
      <c r="E278" s="117" t="n">
        <f aca="false">+DATE(YEAR(E277),MONTH(E277)+1,1)</f>
        <v>54089</v>
      </c>
      <c r="F278" s="118" t="e">
        <f aca="false">+VLOOKUP(E278,[1]!curvecalc,3,0)</f>
        <v>#N/A</v>
      </c>
      <c r="G278" s="119" t="n">
        <f aca="false">+IF(AND(startdate&lt;=E278,enddate&gt;=E278),1,0)</f>
        <v>0</v>
      </c>
      <c r="H278" s="120" t="str">
        <f aca="false">+IF($G278=0,"",(+VLOOKUP($E278,[1]!FIXED_CHARTER_COST,HLOOKUP(vessel_choice,[1]!FIXED_CHARTER_COST,2,0)+1,0)*roundtrip_days)/vessel_mmbtu)</f>
        <v/>
      </c>
      <c r="I278" s="120" t="str">
        <f aca="false">+IF($G278=0,"",(+VLOOKUP($E278,[1]!OM_CHARTER_COST,HLOOKUP(vessel_choice,[1]!OM_CHARTER_COST,2,0)+1,0)*roundtrip_days)/vessel_mmbtu)</f>
        <v/>
      </c>
      <c r="J278" s="120" t="str">
        <f aca="false">IF($G278=0,"",(INDEX([1]!bunker_cost,MATCH(route,[1]!bunker_cost_route,0),MATCH(vessel_choice,[1]!bunker_cost_ship,0))/vessel_mmbtu))</f>
        <v/>
      </c>
      <c r="K278" s="120" t="str">
        <f aca="false">IF($G278=0,"",(+INDEX([1]!PORT_CHARGES,MATCH(source,[1]!PORTS,0),MATCH(vessel,[1]!PORT_CHARGE_SHIPS,0))/vessel_mmbtu))</f>
        <v/>
      </c>
      <c r="L278" s="120" t="str">
        <f aca="false">IF($G278=0,"",(+INDEX([1]!PORT_CHARGES,MATCH(destination,[1]!PORTS,0),MATCH(vessel,[1]!PORT_CHARGE_SHIPS,0))/vessel_mmbtu))</f>
        <v/>
      </c>
      <c r="M278" s="120" t="str">
        <f aca="false">IF($G278=0,"",IF(route_choice=1,INDEX([1]!PORT_CHARGES,MATCH(suez,[1]!PORTS,0),MATCH(vessel,[1]!PORT_CHARGE_SHIPS,0)),0)/vessel_mmbtu)</f>
        <v/>
      </c>
      <c r="N278" s="120" t="str">
        <f aca="false">+IF(G278=0,"",+HLOOKUP(vessel,[1]!other_cost,3,0))</f>
        <v/>
      </c>
      <c r="O278" s="121" t="str">
        <f aca="false">+IF(G278=0,"",SUM(H278:N278))</f>
        <v/>
      </c>
      <c r="P278" s="88"/>
      <c r="Q278" s="90"/>
    </row>
    <row r="279" customFormat="false" ht="12.75" hidden="false" customHeight="false" outlineLevel="0" collapsed="false">
      <c r="E279" s="117" t="n">
        <f aca="false">+DATE(YEAR(E278),MONTH(E278)+1,1)</f>
        <v>54118</v>
      </c>
      <c r="F279" s="118" t="e">
        <f aca="false">+VLOOKUP(E279,[1]!curvecalc,3,0)</f>
        <v>#N/A</v>
      </c>
      <c r="G279" s="119" t="n">
        <f aca="false">+IF(AND(startdate&lt;=E279,enddate&gt;=E279),1,0)</f>
        <v>0</v>
      </c>
      <c r="H279" s="120" t="str">
        <f aca="false">+IF($G279=0,"",(+VLOOKUP($E279,[1]!FIXED_CHARTER_COST,HLOOKUP(vessel_choice,[1]!FIXED_CHARTER_COST,2,0)+1,0)*roundtrip_days)/vessel_mmbtu)</f>
        <v/>
      </c>
      <c r="I279" s="120" t="str">
        <f aca="false">+IF($G279=0,"",(+VLOOKUP($E279,[1]!OM_CHARTER_COST,HLOOKUP(vessel_choice,[1]!OM_CHARTER_COST,2,0)+1,0)*roundtrip_days)/vessel_mmbtu)</f>
        <v/>
      </c>
      <c r="J279" s="120" t="str">
        <f aca="false">IF($G279=0,"",(INDEX([1]!bunker_cost,MATCH(route,[1]!bunker_cost_route,0),MATCH(vessel_choice,[1]!bunker_cost_ship,0))/vessel_mmbtu))</f>
        <v/>
      </c>
      <c r="K279" s="120" t="str">
        <f aca="false">IF($G279=0,"",(+INDEX([1]!PORT_CHARGES,MATCH(source,[1]!PORTS,0),MATCH(vessel,[1]!PORT_CHARGE_SHIPS,0))/vessel_mmbtu))</f>
        <v/>
      </c>
      <c r="L279" s="120" t="str">
        <f aca="false">IF($G279=0,"",(+INDEX([1]!PORT_CHARGES,MATCH(destination,[1]!PORTS,0),MATCH(vessel,[1]!PORT_CHARGE_SHIPS,0))/vessel_mmbtu))</f>
        <v/>
      </c>
      <c r="M279" s="120" t="str">
        <f aca="false">IF($G279=0,"",IF(route_choice=1,INDEX([1]!PORT_CHARGES,MATCH(suez,[1]!PORTS,0),MATCH(vessel,[1]!PORT_CHARGE_SHIPS,0)),0)/vessel_mmbtu)</f>
        <v/>
      </c>
      <c r="N279" s="120" t="str">
        <f aca="false">+IF(G279=0,"",+HLOOKUP(vessel,[1]!other_cost,3,0))</f>
        <v/>
      </c>
      <c r="O279" s="121" t="str">
        <f aca="false">+IF(G279=0,"",SUM(H279:N279))</f>
        <v/>
      </c>
      <c r="P279" s="88"/>
      <c r="Q279" s="90"/>
    </row>
    <row r="280" customFormat="false" ht="12.75" hidden="false" customHeight="false" outlineLevel="0" collapsed="false">
      <c r="E280" s="117" t="n">
        <f aca="false">+DATE(YEAR(E279),MONTH(E279)+1,1)</f>
        <v>54149</v>
      </c>
      <c r="F280" s="118" t="e">
        <f aca="false">+VLOOKUP(E280,[1]!curvecalc,3,0)</f>
        <v>#N/A</v>
      </c>
      <c r="G280" s="119" t="n">
        <f aca="false">+IF(AND(startdate&lt;=E280,enddate&gt;=E280),1,0)</f>
        <v>0</v>
      </c>
      <c r="H280" s="120" t="str">
        <f aca="false">+IF($G280=0,"",(+VLOOKUP($E280,[1]!FIXED_CHARTER_COST,HLOOKUP(vessel_choice,[1]!FIXED_CHARTER_COST,2,0)+1,0)*roundtrip_days)/vessel_mmbtu)</f>
        <v/>
      </c>
      <c r="I280" s="120" t="str">
        <f aca="false">+IF($G280=0,"",(+VLOOKUP($E280,[1]!OM_CHARTER_COST,HLOOKUP(vessel_choice,[1]!OM_CHARTER_COST,2,0)+1,0)*roundtrip_days)/vessel_mmbtu)</f>
        <v/>
      </c>
      <c r="J280" s="120" t="str">
        <f aca="false">IF($G280=0,"",(INDEX([1]!bunker_cost,MATCH(route,[1]!bunker_cost_route,0),MATCH(vessel_choice,[1]!bunker_cost_ship,0))/vessel_mmbtu))</f>
        <v/>
      </c>
      <c r="K280" s="120" t="str">
        <f aca="false">IF($G280=0,"",(+INDEX([1]!PORT_CHARGES,MATCH(source,[1]!PORTS,0),MATCH(vessel,[1]!PORT_CHARGE_SHIPS,0))/vessel_mmbtu))</f>
        <v/>
      </c>
      <c r="L280" s="120" t="str">
        <f aca="false">IF($G280=0,"",(+INDEX([1]!PORT_CHARGES,MATCH(destination,[1]!PORTS,0),MATCH(vessel,[1]!PORT_CHARGE_SHIPS,0))/vessel_mmbtu))</f>
        <v/>
      </c>
      <c r="M280" s="120" t="str">
        <f aca="false">IF($G280=0,"",IF(route_choice=1,INDEX([1]!PORT_CHARGES,MATCH(suez,[1]!PORTS,0),MATCH(vessel,[1]!PORT_CHARGE_SHIPS,0)),0)/vessel_mmbtu)</f>
        <v/>
      </c>
      <c r="N280" s="120" t="str">
        <f aca="false">+IF(G280=0,"",+HLOOKUP(vessel,[1]!other_cost,3,0))</f>
        <v/>
      </c>
      <c r="O280" s="121" t="str">
        <f aca="false">+IF(G280=0,"",SUM(H280:N280))</f>
        <v/>
      </c>
      <c r="P280" s="88"/>
      <c r="Q280" s="90"/>
    </row>
    <row r="281" customFormat="false" ht="12.75" hidden="false" customHeight="false" outlineLevel="0" collapsed="false">
      <c r="E281" s="117" t="n">
        <f aca="false">+DATE(YEAR(E280),MONTH(E280)+1,1)</f>
        <v>54179</v>
      </c>
      <c r="F281" s="118" t="e">
        <f aca="false">+VLOOKUP(E281,[1]!curvecalc,3,0)</f>
        <v>#N/A</v>
      </c>
      <c r="G281" s="119" t="n">
        <f aca="false">+IF(AND(startdate&lt;=E281,enddate&gt;=E281),1,0)</f>
        <v>0</v>
      </c>
      <c r="H281" s="120" t="str">
        <f aca="false">+IF($G281=0,"",(+VLOOKUP($E281,[1]!FIXED_CHARTER_COST,HLOOKUP(vessel_choice,[1]!FIXED_CHARTER_COST,2,0)+1,0)*roundtrip_days)/vessel_mmbtu)</f>
        <v/>
      </c>
      <c r="I281" s="120" t="str">
        <f aca="false">+IF($G281=0,"",(+VLOOKUP($E281,[1]!OM_CHARTER_COST,HLOOKUP(vessel_choice,[1]!OM_CHARTER_COST,2,0)+1,0)*roundtrip_days)/vessel_mmbtu)</f>
        <v/>
      </c>
      <c r="J281" s="120" t="str">
        <f aca="false">IF($G281=0,"",(INDEX([1]!bunker_cost,MATCH(route,[1]!bunker_cost_route,0),MATCH(vessel_choice,[1]!bunker_cost_ship,0))/vessel_mmbtu))</f>
        <v/>
      </c>
      <c r="K281" s="120" t="str">
        <f aca="false">IF($G281=0,"",(+INDEX([1]!PORT_CHARGES,MATCH(source,[1]!PORTS,0),MATCH(vessel,[1]!PORT_CHARGE_SHIPS,0))/vessel_mmbtu))</f>
        <v/>
      </c>
      <c r="L281" s="120" t="str">
        <f aca="false">IF($G281=0,"",(+INDEX([1]!PORT_CHARGES,MATCH(destination,[1]!PORTS,0),MATCH(vessel,[1]!PORT_CHARGE_SHIPS,0))/vessel_mmbtu))</f>
        <v/>
      </c>
      <c r="M281" s="120" t="str">
        <f aca="false">IF($G281=0,"",IF(route_choice=1,INDEX([1]!PORT_CHARGES,MATCH(suez,[1]!PORTS,0),MATCH(vessel,[1]!PORT_CHARGE_SHIPS,0)),0)/vessel_mmbtu)</f>
        <v/>
      </c>
      <c r="N281" s="120" t="str">
        <f aca="false">+IF(G281=0,"",+HLOOKUP(vessel,[1]!other_cost,3,0))</f>
        <v/>
      </c>
      <c r="O281" s="121" t="str">
        <f aca="false">+IF(G281=0,"",SUM(H281:N281))</f>
        <v/>
      </c>
      <c r="P281" s="88"/>
      <c r="Q281" s="90"/>
    </row>
    <row r="282" customFormat="false" ht="12.75" hidden="false" customHeight="false" outlineLevel="0" collapsed="false">
      <c r="E282" s="117" t="n">
        <f aca="false">+DATE(YEAR(E281),MONTH(E281)+1,1)</f>
        <v>54210</v>
      </c>
      <c r="F282" s="118" t="e">
        <f aca="false">+VLOOKUP(E282,[1]!curvecalc,3,0)</f>
        <v>#N/A</v>
      </c>
      <c r="G282" s="119" t="n">
        <f aca="false">+IF(AND(startdate&lt;=E282,enddate&gt;=E282),1,0)</f>
        <v>0</v>
      </c>
      <c r="H282" s="120" t="str">
        <f aca="false">+IF($G282=0,"",(+VLOOKUP($E282,[1]!FIXED_CHARTER_COST,HLOOKUP(vessel_choice,[1]!FIXED_CHARTER_COST,2,0)+1,0)*roundtrip_days)/vessel_mmbtu)</f>
        <v/>
      </c>
      <c r="I282" s="120" t="str">
        <f aca="false">+IF($G282=0,"",(+VLOOKUP($E282,[1]!OM_CHARTER_COST,HLOOKUP(vessel_choice,[1]!OM_CHARTER_COST,2,0)+1,0)*roundtrip_days)/vessel_mmbtu)</f>
        <v/>
      </c>
      <c r="J282" s="120" t="str">
        <f aca="false">IF($G282=0,"",(INDEX([1]!bunker_cost,MATCH(route,[1]!bunker_cost_route,0),MATCH(vessel_choice,[1]!bunker_cost_ship,0))/vessel_mmbtu))</f>
        <v/>
      </c>
      <c r="K282" s="120" t="str">
        <f aca="false">IF($G282=0,"",(+INDEX([1]!PORT_CHARGES,MATCH(source,[1]!PORTS,0),MATCH(vessel,[1]!PORT_CHARGE_SHIPS,0))/vessel_mmbtu))</f>
        <v/>
      </c>
      <c r="L282" s="120" t="str">
        <f aca="false">IF($G282=0,"",(+INDEX([1]!PORT_CHARGES,MATCH(destination,[1]!PORTS,0),MATCH(vessel,[1]!PORT_CHARGE_SHIPS,0))/vessel_mmbtu))</f>
        <v/>
      </c>
      <c r="M282" s="120" t="str">
        <f aca="false">IF($G282=0,"",IF(route_choice=1,INDEX([1]!PORT_CHARGES,MATCH(suez,[1]!PORTS,0),MATCH(vessel,[1]!PORT_CHARGE_SHIPS,0)),0)/vessel_mmbtu)</f>
        <v/>
      </c>
      <c r="N282" s="120" t="str">
        <f aca="false">+IF(G282=0,"",+HLOOKUP(vessel,[1]!other_cost,3,0))</f>
        <v/>
      </c>
      <c r="O282" s="121" t="str">
        <f aca="false">+IF(G282=0,"",SUM(H282:N282))</f>
        <v/>
      </c>
      <c r="P282" s="88"/>
      <c r="Q282" s="90"/>
    </row>
    <row r="283" customFormat="false" ht="12.75" hidden="false" customHeight="false" outlineLevel="0" collapsed="false">
      <c r="E283" s="117" t="n">
        <f aca="false">+DATE(YEAR(E282),MONTH(E282)+1,1)</f>
        <v>54240</v>
      </c>
      <c r="F283" s="118" t="e">
        <f aca="false">+VLOOKUP(E283,[1]!curvecalc,3,0)</f>
        <v>#N/A</v>
      </c>
      <c r="G283" s="119" t="n">
        <f aca="false">+IF(AND(startdate&lt;=E283,enddate&gt;=E283),1,0)</f>
        <v>0</v>
      </c>
      <c r="H283" s="120" t="str">
        <f aca="false">+IF($G283=0,"",(+VLOOKUP($E283,[1]!FIXED_CHARTER_COST,HLOOKUP(vessel_choice,[1]!FIXED_CHARTER_COST,2,0)+1,0)*roundtrip_days)/vessel_mmbtu)</f>
        <v/>
      </c>
      <c r="I283" s="120" t="str">
        <f aca="false">+IF($G283=0,"",(+VLOOKUP($E283,[1]!OM_CHARTER_COST,HLOOKUP(vessel_choice,[1]!OM_CHARTER_COST,2,0)+1,0)*roundtrip_days)/vessel_mmbtu)</f>
        <v/>
      </c>
      <c r="J283" s="120" t="str">
        <f aca="false">IF($G283=0,"",(INDEX([1]!bunker_cost,MATCH(route,[1]!bunker_cost_route,0),MATCH(vessel_choice,[1]!bunker_cost_ship,0))/vessel_mmbtu))</f>
        <v/>
      </c>
      <c r="K283" s="120" t="str">
        <f aca="false">IF($G283=0,"",(+INDEX([1]!PORT_CHARGES,MATCH(source,[1]!PORTS,0),MATCH(vessel,[1]!PORT_CHARGE_SHIPS,0))/vessel_mmbtu))</f>
        <v/>
      </c>
      <c r="L283" s="120" t="str">
        <f aca="false">IF($G283=0,"",(+INDEX([1]!PORT_CHARGES,MATCH(destination,[1]!PORTS,0),MATCH(vessel,[1]!PORT_CHARGE_SHIPS,0))/vessel_mmbtu))</f>
        <v/>
      </c>
      <c r="M283" s="120" t="str">
        <f aca="false">IF($G283=0,"",IF(route_choice=1,INDEX([1]!PORT_CHARGES,MATCH(suez,[1]!PORTS,0),MATCH(vessel,[1]!PORT_CHARGE_SHIPS,0)),0)/vessel_mmbtu)</f>
        <v/>
      </c>
      <c r="N283" s="120" t="str">
        <f aca="false">+IF(G283=0,"",+HLOOKUP(vessel,[1]!other_cost,3,0))</f>
        <v/>
      </c>
      <c r="O283" s="121" t="str">
        <f aca="false">+IF(G283=0,"",SUM(H283:N283))</f>
        <v/>
      </c>
      <c r="P283" s="88"/>
      <c r="Q283" s="90"/>
    </row>
    <row r="284" customFormat="false" ht="12.75" hidden="false" customHeight="false" outlineLevel="0" collapsed="false">
      <c r="E284" s="117" t="n">
        <f aca="false">+DATE(YEAR(E283),MONTH(E283)+1,1)</f>
        <v>54271</v>
      </c>
      <c r="F284" s="118" t="e">
        <f aca="false">+VLOOKUP(E284,[1]!curvecalc,3,0)</f>
        <v>#N/A</v>
      </c>
      <c r="G284" s="119" t="n">
        <f aca="false">+IF(AND(startdate&lt;=E284,enddate&gt;=E284),1,0)</f>
        <v>0</v>
      </c>
      <c r="H284" s="120" t="str">
        <f aca="false">+IF($G284=0,"",(+VLOOKUP($E284,[1]!FIXED_CHARTER_COST,HLOOKUP(vessel_choice,[1]!FIXED_CHARTER_COST,2,0)+1,0)*roundtrip_days)/vessel_mmbtu)</f>
        <v/>
      </c>
      <c r="I284" s="120" t="str">
        <f aca="false">+IF($G284=0,"",(+VLOOKUP($E284,[1]!OM_CHARTER_COST,HLOOKUP(vessel_choice,[1]!OM_CHARTER_COST,2,0)+1,0)*roundtrip_days)/vessel_mmbtu)</f>
        <v/>
      </c>
      <c r="J284" s="120" t="str">
        <f aca="false">IF($G284=0,"",(INDEX([1]!bunker_cost,MATCH(route,[1]!bunker_cost_route,0),MATCH(vessel_choice,[1]!bunker_cost_ship,0))/vessel_mmbtu))</f>
        <v/>
      </c>
      <c r="K284" s="120" t="str">
        <f aca="false">IF($G284=0,"",(+INDEX([1]!PORT_CHARGES,MATCH(source,[1]!PORTS,0),MATCH(vessel,[1]!PORT_CHARGE_SHIPS,0))/vessel_mmbtu))</f>
        <v/>
      </c>
      <c r="L284" s="120" t="str">
        <f aca="false">IF($G284=0,"",(+INDEX([1]!PORT_CHARGES,MATCH(destination,[1]!PORTS,0),MATCH(vessel,[1]!PORT_CHARGE_SHIPS,0))/vessel_mmbtu))</f>
        <v/>
      </c>
      <c r="M284" s="120" t="str">
        <f aca="false">IF($G284=0,"",IF(route_choice=1,INDEX([1]!PORT_CHARGES,MATCH(suez,[1]!PORTS,0),MATCH(vessel,[1]!PORT_CHARGE_SHIPS,0)),0)/vessel_mmbtu)</f>
        <v/>
      </c>
      <c r="N284" s="120" t="str">
        <f aca="false">+IF(G284=0,"",+HLOOKUP(vessel,[1]!other_cost,3,0))</f>
        <v/>
      </c>
      <c r="O284" s="121" t="str">
        <f aca="false">+IF(G284=0,"",SUM(H284:N284))</f>
        <v/>
      </c>
      <c r="P284" s="88"/>
      <c r="Q284" s="90"/>
    </row>
    <row r="285" customFormat="false" ht="12.75" hidden="false" customHeight="false" outlineLevel="0" collapsed="false">
      <c r="E285" s="117" t="n">
        <f aca="false">+DATE(YEAR(E284),MONTH(E284)+1,1)</f>
        <v>54302</v>
      </c>
      <c r="F285" s="118" t="e">
        <f aca="false">+VLOOKUP(E285,[1]!curvecalc,3,0)</f>
        <v>#N/A</v>
      </c>
      <c r="G285" s="119" t="n">
        <f aca="false">+IF(AND(startdate&lt;=E285,enddate&gt;=E285),1,0)</f>
        <v>0</v>
      </c>
      <c r="H285" s="120" t="str">
        <f aca="false">+IF($G285=0,"",(+VLOOKUP($E285,[1]!FIXED_CHARTER_COST,HLOOKUP(vessel_choice,[1]!FIXED_CHARTER_COST,2,0)+1,0)*roundtrip_days)/vessel_mmbtu)</f>
        <v/>
      </c>
      <c r="I285" s="120" t="str">
        <f aca="false">+IF($G285=0,"",(+VLOOKUP($E285,[1]!OM_CHARTER_COST,HLOOKUP(vessel_choice,[1]!OM_CHARTER_COST,2,0)+1,0)*roundtrip_days)/vessel_mmbtu)</f>
        <v/>
      </c>
      <c r="J285" s="120" t="str">
        <f aca="false">IF($G285=0,"",(INDEX([1]!bunker_cost,MATCH(route,[1]!bunker_cost_route,0),MATCH(vessel_choice,[1]!bunker_cost_ship,0))/vessel_mmbtu))</f>
        <v/>
      </c>
      <c r="K285" s="120" t="str">
        <f aca="false">IF($G285=0,"",(+INDEX([1]!PORT_CHARGES,MATCH(source,[1]!PORTS,0),MATCH(vessel,[1]!PORT_CHARGE_SHIPS,0))/vessel_mmbtu))</f>
        <v/>
      </c>
      <c r="L285" s="120" t="str">
        <f aca="false">IF($G285=0,"",(+INDEX([1]!PORT_CHARGES,MATCH(destination,[1]!PORTS,0),MATCH(vessel,[1]!PORT_CHARGE_SHIPS,0))/vessel_mmbtu))</f>
        <v/>
      </c>
      <c r="M285" s="120" t="str">
        <f aca="false">IF($G285=0,"",IF(route_choice=1,INDEX([1]!PORT_CHARGES,MATCH(suez,[1]!PORTS,0),MATCH(vessel,[1]!PORT_CHARGE_SHIPS,0)),0)/vessel_mmbtu)</f>
        <v/>
      </c>
      <c r="N285" s="120" t="str">
        <f aca="false">+IF(G285=0,"",+HLOOKUP(vessel,[1]!other_cost,3,0))</f>
        <v/>
      </c>
      <c r="O285" s="121" t="str">
        <f aca="false">+IF(G285=0,"",SUM(H285:N285))</f>
        <v/>
      </c>
      <c r="P285" s="88"/>
      <c r="Q285" s="90"/>
    </row>
    <row r="286" customFormat="false" ht="12.75" hidden="false" customHeight="false" outlineLevel="0" collapsed="false">
      <c r="E286" s="117" t="n">
        <f aca="false">+DATE(YEAR(E285),MONTH(E285)+1,1)</f>
        <v>54332</v>
      </c>
      <c r="F286" s="118" t="e">
        <f aca="false">+VLOOKUP(E286,[1]!curvecalc,3,0)</f>
        <v>#N/A</v>
      </c>
      <c r="G286" s="119" t="n">
        <f aca="false">+IF(AND(startdate&lt;=E286,enddate&gt;=E286),1,0)</f>
        <v>0</v>
      </c>
      <c r="H286" s="120" t="str">
        <f aca="false">+IF($G286=0,"",(+VLOOKUP($E286,[1]!FIXED_CHARTER_COST,HLOOKUP(vessel_choice,[1]!FIXED_CHARTER_COST,2,0)+1,0)*roundtrip_days)/vessel_mmbtu)</f>
        <v/>
      </c>
      <c r="I286" s="120" t="str">
        <f aca="false">+IF($G286=0,"",(+VLOOKUP($E286,[1]!OM_CHARTER_COST,HLOOKUP(vessel_choice,[1]!OM_CHARTER_COST,2,0)+1,0)*roundtrip_days)/vessel_mmbtu)</f>
        <v/>
      </c>
      <c r="J286" s="120" t="str">
        <f aca="false">IF($G286=0,"",(INDEX([1]!bunker_cost,MATCH(route,[1]!bunker_cost_route,0),MATCH(vessel_choice,[1]!bunker_cost_ship,0))/vessel_mmbtu))</f>
        <v/>
      </c>
      <c r="K286" s="120" t="str">
        <f aca="false">IF($G286=0,"",(+INDEX([1]!PORT_CHARGES,MATCH(source,[1]!PORTS,0),MATCH(vessel,[1]!PORT_CHARGE_SHIPS,0))/vessel_mmbtu))</f>
        <v/>
      </c>
      <c r="L286" s="120" t="str">
        <f aca="false">IF($G286=0,"",(+INDEX([1]!PORT_CHARGES,MATCH(destination,[1]!PORTS,0),MATCH(vessel,[1]!PORT_CHARGE_SHIPS,0))/vessel_mmbtu))</f>
        <v/>
      </c>
      <c r="M286" s="120" t="str">
        <f aca="false">IF($G286=0,"",IF(route_choice=1,INDEX([1]!PORT_CHARGES,MATCH(suez,[1]!PORTS,0),MATCH(vessel,[1]!PORT_CHARGE_SHIPS,0)),0)/vessel_mmbtu)</f>
        <v/>
      </c>
      <c r="N286" s="120" t="str">
        <f aca="false">+IF(G286=0,"",+HLOOKUP(vessel,[1]!other_cost,3,0))</f>
        <v/>
      </c>
      <c r="O286" s="121" t="str">
        <f aca="false">+IF(G286=0,"",SUM(H286:N286))</f>
        <v/>
      </c>
      <c r="P286" s="88"/>
      <c r="Q286" s="90"/>
    </row>
    <row r="287" customFormat="false" ht="12.75" hidden="false" customHeight="false" outlineLevel="0" collapsed="false">
      <c r="E287" s="117" t="n">
        <f aca="false">+DATE(YEAR(E286),MONTH(E286)+1,1)</f>
        <v>54363</v>
      </c>
      <c r="F287" s="118" t="e">
        <f aca="false">+VLOOKUP(E287,[1]!curvecalc,3,0)</f>
        <v>#N/A</v>
      </c>
      <c r="G287" s="119" t="n">
        <f aca="false">+IF(AND(startdate&lt;=E287,enddate&gt;=E287),1,0)</f>
        <v>0</v>
      </c>
      <c r="H287" s="120" t="str">
        <f aca="false">+IF($G287=0,"",(+VLOOKUP($E287,[1]!FIXED_CHARTER_COST,HLOOKUP(vessel_choice,[1]!FIXED_CHARTER_COST,2,0)+1,0)*roundtrip_days)/vessel_mmbtu)</f>
        <v/>
      </c>
      <c r="I287" s="120" t="str">
        <f aca="false">+IF($G287=0,"",(+VLOOKUP($E287,[1]!OM_CHARTER_COST,HLOOKUP(vessel_choice,[1]!OM_CHARTER_COST,2,0)+1,0)*roundtrip_days)/vessel_mmbtu)</f>
        <v/>
      </c>
      <c r="J287" s="120" t="str">
        <f aca="false">IF($G287=0,"",(INDEX([1]!bunker_cost,MATCH(route,[1]!bunker_cost_route,0),MATCH(vessel_choice,[1]!bunker_cost_ship,0))/vessel_mmbtu))</f>
        <v/>
      </c>
      <c r="K287" s="120" t="str">
        <f aca="false">IF($G287=0,"",(+INDEX([1]!PORT_CHARGES,MATCH(source,[1]!PORTS,0),MATCH(vessel,[1]!PORT_CHARGE_SHIPS,0))/vessel_mmbtu))</f>
        <v/>
      </c>
      <c r="L287" s="120" t="str">
        <f aca="false">IF($G287=0,"",(+INDEX([1]!PORT_CHARGES,MATCH(destination,[1]!PORTS,0),MATCH(vessel,[1]!PORT_CHARGE_SHIPS,0))/vessel_mmbtu))</f>
        <v/>
      </c>
      <c r="M287" s="120" t="str">
        <f aca="false">IF($G287=0,"",IF(route_choice=1,INDEX([1]!PORT_CHARGES,MATCH(suez,[1]!PORTS,0),MATCH(vessel,[1]!PORT_CHARGE_SHIPS,0)),0)/vessel_mmbtu)</f>
        <v/>
      </c>
      <c r="N287" s="120" t="str">
        <f aca="false">+IF(G287=0,"",+HLOOKUP(vessel,[1]!other_cost,3,0))</f>
        <v/>
      </c>
      <c r="O287" s="121" t="str">
        <f aca="false">+IF(G287=0,"",SUM(H287:N287))</f>
        <v/>
      </c>
      <c r="P287" s="88"/>
      <c r="Q287" s="90"/>
    </row>
    <row r="288" customFormat="false" ht="12.75" hidden="false" customHeight="false" outlineLevel="0" collapsed="false">
      <c r="E288" s="117" t="n">
        <f aca="false">+DATE(YEAR(E287),MONTH(E287)+1,1)</f>
        <v>54393</v>
      </c>
      <c r="F288" s="118" t="e">
        <f aca="false">+VLOOKUP(E288,[1]!curvecalc,3,0)</f>
        <v>#N/A</v>
      </c>
      <c r="G288" s="119" t="n">
        <f aca="false">+IF(AND(startdate&lt;=E288,enddate&gt;=E288),1,0)</f>
        <v>0</v>
      </c>
      <c r="H288" s="120" t="str">
        <f aca="false">+IF($G288=0,"",(+VLOOKUP($E288,[1]!FIXED_CHARTER_COST,HLOOKUP(vessel_choice,[1]!FIXED_CHARTER_COST,2,0)+1,0)*roundtrip_days)/vessel_mmbtu)</f>
        <v/>
      </c>
      <c r="I288" s="120" t="str">
        <f aca="false">+IF($G288=0,"",(+VLOOKUP($E288,[1]!OM_CHARTER_COST,HLOOKUP(vessel_choice,[1]!OM_CHARTER_COST,2,0)+1,0)*roundtrip_days)/vessel_mmbtu)</f>
        <v/>
      </c>
      <c r="J288" s="120" t="str">
        <f aca="false">IF($G288=0,"",(INDEX([1]!bunker_cost,MATCH(route,[1]!bunker_cost_route,0),MATCH(vessel_choice,[1]!bunker_cost_ship,0))/vessel_mmbtu))</f>
        <v/>
      </c>
      <c r="K288" s="120" t="str">
        <f aca="false">IF($G288=0,"",(+INDEX([1]!PORT_CHARGES,MATCH(source,[1]!PORTS,0),MATCH(vessel,[1]!PORT_CHARGE_SHIPS,0))/vessel_mmbtu))</f>
        <v/>
      </c>
      <c r="L288" s="120" t="str">
        <f aca="false">IF($G288=0,"",(+INDEX([1]!PORT_CHARGES,MATCH(destination,[1]!PORTS,0),MATCH(vessel,[1]!PORT_CHARGE_SHIPS,0))/vessel_mmbtu))</f>
        <v/>
      </c>
      <c r="M288" s="120" t="str">
        <f aca="false">IF($G288=0,"",IF(route_choice=1,INDEX([1]!PORT_CHARGES,MATCH(suez,[1]!PORTS,0),MATCH(vessel,[1]!PORT_CHARGE_SHIPS,0)),0)/vessel_mmbtu)</f>
        <v/>
      </c>
      <c r="N288" s="120" t="str">
        <f aca="false">+IF(G288=0,"",+HLOOKUP(vessel,[1]!other_cost,3,0))</f>
        <v/>
      </c>
      <c r="O288" s="121" t="str">
        <f aca="false">+IF(G288=0,"",SUM(H288:N288))</f>
        <v/>
      </c>
      <c r="P288" s="88"/>
      <c r="Q288" s="90"/>
    </row>
    <row r="289" customFormat="false" ht="12.75" hidden="false" customHeight="false" outlineLevel="0" collapsed="false">
      <c r="E289" s="117" t="n">
        <f aca="false">+DATE(YEAR(E288),MONTH(E288)+1,1)</f>
        <v>54424</v>
      </c>
      <c r="F289" s="118" t="e">
        <f aca="false">+VLOOKUP(E289,[1]!curvecalc,3,0)</f>
        <v>#N/A</v>
      </c>
      <c r="G289" s="119" t="n">
        <f aca="false">+IF(AND(startdate&lt;=E289,enddate&gt;=E289),1,0)</f>
        <v>0</v>
      </c>
      <c r="H289" s="120" t="str">
        <f aca="false">+IF($G289=0,"",(+VLOOKUP($E289,[1]!FIXED_CHARTER_COST,HLOOKUP(vessel_choice,[1]!FIXED_CHARTER_COST,2,0)+1,0)*roundtrip_days)/vessel_mmbtu)</f>
        <v/>
      </c>
      <c r="I289" s="120" t="str">
        <f aca="false">+IF($G289=0,"",(+VLOOKUP($E289,[1]!OM_CHARTER_COST,HLOOKUP(vessel_choice,[1]!OM_CHARTER_COST,2,0)+1,0)*roundtrip_days)/vessel_mmbtu)</f>
        <v/>
      </c>
      <c r="J289" s="120" t="str">
        <f aca="false">IF($G289=0,"",(INDEX([1]!bunker_cost,MATCH(route,[1]!bunker_cost_route,0),MATCH(vessel_choice,[1]!bunker_cost_ship,0))/vessel_mmbtu))</f>
        <v/>
      </c>
      <c r="K289" s="120" t="str">
        <f aca="false">IF($G289=0,"",(+INDEX([1]!PORT_CHARGES,MATCH(source,[1]!PORTS,0),MATCH(vessel,[1]!PORT_CHARGE_SHIPS,0))/vessel_mmbtu))</f>
        <v/>
      </c>
      <c r="L289" s="120" t="str">
        <f aca="false">IF($G289=0,"",(+INDEX([1]!PORT_CHARGES,MATCH(destination,[1]!PORTS,0),MATCH(vessel,[1]!PORT_CHARGE_SHIPS,0))/vessel_mmbtu))</f>
        <v/>
      </c>
      <c r="M289" s="120" t="str">
        <f aca="false">IF($G289=0,"",IF(route_choice=1,INDEX([1]!PORT_CHARGES,MATCH(suez,[1]!PORTS,0),MATCH(vessel,[1]!PORT_CHARGE_SHIPS,0)),0)/vessel_mmbtu)</f>
        <v/>
      </c>
      <c r="N289" s="120" t="str">
        <f aca="false">+IF(G289=0,"",+HLOOKUP(vessel,[1]!other_cost,3,0))</f>
        <v/>
      </c>
      <c r="O289" s="121" t="str">
        <f aca="false">+IF(G289=0,"",SUM(H289:N289))</f>
        <v/>
      </c>
      <c r="P289" s="88"/>
      <c r="Q289" s="90"/>
    </row>
    <row r="290" customFormat="false" ht="12.75" hidden="false" customHeight="false" outlineLevel="0" collapsed="false">
      <c r="E290" s="117" t="n">
        <f aca="false">+DATE(YEAR(E289),MONTH(E289)+1,1)</f>
        <v>54455</v>
      </c>
      <c r="F290" s="118" t="e">
        <f aca="false">+VLOOKUP(E290,[1]!curvecalc,3,0)</f>
        <v>#N/A</v>
      </c>
      <c r="G290" s="119" t="n">
        <f aca="false">+IF(AND(startdate&lt;=E290,enddate&gt;=E290),1,0)</f>
        <v>0</v>
      </c>
      <c r="H290" s="120" t="str">
        <f aca="false">+IF($G290=0,"",(+VLOOKUP($E290,[1]!FIXED_CHARTER_COST,HLOOKUP(vessel_choice,[1]!FIXED_CHARTER_COST,2,0)+1,0)*roundtrip_days)/vessel_mmbtu)</f>
        <v/>
      </c>
      <c r="I290" s="120" t="str">
        <f aca="false">+IF($G290=0,"",(+VLOOKUP($E290,[1]!OM_CHARTER_COST,HLOOKUP(vessel_choice,[1]!OM_CHARTER_COST,2,0)+1,0)*roundtrip_days)/vessel_mmbtu)</f>
        <v/>
      </c>
      <c r="J290" s="120" t="str">
        <f aca="false">IF($G290=0,"",(INDEX([1]!bunker_cost,MATCH(route,[1]!bunker_cost_route,0),MATCH(vessel_choice,[1]!bunker_cost_ship,0))/vessel_mmbtu))</f>
        <v/>
      </c>
      <c r="K290" s="120" t="str">
        <f aca="false">IF($G290=0,"",(+INDEX([1]!PORT_CHARGES,MATCH(source,[1]!PORTS,0),MATCH(vessel,[1]!PORT_CHARGE_SHIPS,0))/vessel_mmbtu))</f>
        <v/>
      </c>
      <c r="L290" s="120" t="str">
        <f aca="false">IF($G290=0,"",(+INDEX([1]!PORT_CHARGES,MATCH(destination,[1]!PORTS,0),MATCH(vessel,[1]!PORT_CHARGE_SHIPS,0))/vessel_mmbtu))</f>
        <v/>
      </c>
      <c r="M290" s="120" t="str">
        <f aca="false">IF($G290=0,"",IF(route_choice=1,INDEX([1]!PORT_CHARGES,MATCH(suez,[1]!PORTS,0),MATCH(vessel,[1]!PORT_CHARGE_SHIPS,0)),0)/vessel_mmbtu)</f>
        <v/>
      </c>
      <c r="N290" s="120" t="str">
        <f aca="false">+IF(G290=0,"",+HLOOKUP(vessel,[1]!other_cost,3,0))</f>
        <v/>
      </c>
      <c r="O290" s="121" t="str">
        <f aca="false">+IF(G290=0,"",SUM(H290:N290))</f>
        <v/>
      </c>
      <c r="P290" s="88"/>
      <c r="Q290" s="90"/>
    </row>
    <row r="291" customFormat="false" ht="12.75" hidden="false" customHeight="false" outlineLevel="0" collapsed="false">
      <c r="E291" s="117" t="n">
        <f aca="false">+DATE(YEAR(E290),MONTH(E290)+1,1)</f>
        <v>54483</v>
      </c>
      <c r="F291" s="118" t="e">
        <f aca="false">+VLOOKUP(E291,[1]!curvecalc,3,0)</f>
        <v>#N/A</v>
      </c>
      <c r="G291" s="119" t="n">
        <f aca="false">+IF(AND(startdate&lt;=E291,enddate&gt;=E291),1,0)</f>
        <v>0</v>
      </c>
      <c r="H291" s="120" t="str">
        <f aca="false">+IF($G291=0,"",(+VLOOKUP($E291,[1]!FIXED_CHARTER_COST,HLOOKUP(vessel_choice,[1]!FIXED_CHARTER_COST,2,0)+1,0)*roundtrip_days)/vessel_mmbtu)</f>
        <v/>
      </c>
      <c r="I291" s="120" t="str">
        <f aca="false">+IF($G291=0,"",(+VLOOKUP($E291,[1]!OM_CHARTER_COST,HLOOKUP(vessel_choice,[1]!OM_CHARTER_COST,2,0)+1,0)*roundtrip_days)/vessel_mmbtu)</f>
        <v/>
      </c>
      <c r="J291" s="120" t="str">
        <f aca="false">IF($G291=0,"",(INDEX([1]!bunker_cost,MATCH(route,[1]!bunker_cost_route,0),MATCH(vessel_choice,[1]!bunker_cost_ship,0))/vessel_mmbtu))</f>
        <v/>
      </c>
      <c r="K291" s="120" t="str">
        <f aca="false">IF($G291=0,"",(+INDEX([1]!PORT_CHARGES,MATCH(source,[1]!PORTS,0),MATCH(vessel,[1]!PORT_CHARGE_SHIPS,0))/vessel_mmbtu))</f>
        <v/>
      </c>
      <c r="L291" s="120" t="str">
        <f aca="false">IF($G291=0,"",(+INDEX([1]!PORT_CHARGES,MATCH(destination,[1]!PORTS,0),MATCH(vessel,[1]!PORT_CHARGE_SHIPS,0))/vessel_mmbtu))</f>
        <v/>
      </c>
      <c r="M291" s="120" t="str">
        <f aca="false">IF($G291=0,"",IF(route_choice=1,INDEX([1]!PORT_CHARGES,MATCH(suez,[1]!PORTS,0),MATCH(vessel,[1]!PORT_CHARGE_SHIPS,0)),0)/vessel_mmbtu)</f>
        <v/>
      </c>
      <c r="N291" s="120" t="str">
        <f aca="false">+IF(G291=0,"",+HLOOKUP(vessel,[1]!other_cost,3,0))</f>
        <v/>
      </c>
      <c r="O291" s="121" t="str">
        <f aca="false">+IF(G291=0,"",SUM(H291:N291))</f>
        <v/>
      </c>
      <c r="P291" s="88"/>
      <c r="Q291" s="90"/>
    </row>
    <row r="292" customFormat="false" ht="12.75" hidden="false" customHeight="false" outlineLevel="0" collapsed="false">
      <c r="E292" s="117" t="n">
        <f aca="false">+DATE(YEAR(E291),MONTH(E291)+1,1)</f>
        <v>54514</v>
      </c>
      <c r="F292" s="118" t="e">
        <f aca="false">+VLOOKUP(E292,[1]!curvecalc,3,0)</f>
        <v>#N/A</v>
      </c>
      <c r="G292" s="119" t="n">
        <f aca="false">+IF(AND(startdate&lt;=E292,enddate&gt;=E292),1,0)</f>
        <v>0</v>
      </c>
      <c r="H292" s="120" t="str">
        <f aca="false">+IF($G292=0,"",(+VLOOKUP($E292,[1]!FIXED_CHARTER_COST,HLOOKUP(vessel_choice,[1]!FIXED_CHARTER_COST,2,0)+1,0)*roundtrip_days)/vessel_mmbtu)</f>
        <v/>
      </c>
      <c r="I292" s="120" t="str">
        <f aca="false">+IF($G292=0,"",(+VLOOKUP($E292,[1]!OM_CHARTER_COST,HLOOKUP(vessel_choice,[1]!OM_CHARTER_COST,2,0)+1,0)*roundtrip_days)/vessel_mmbtu)</f>
        <v/>
      </c>
      <c r="J292" s="120" t="str">
        <f aca="false">IF($G292=0,"",(INDEX([1]!bunker_cost,MATCH(route,[1]!bunker_cost_route,0),MATCH(vessel_choice,[1]!bunker_cost_ship,0))/vessel_mmbtu))</f>
        <v/>
      </c>
      <c r="K292" s="120" t="str">
        <f aca="false">IF($G292=0,"",(+INDEX([1]!PORT_CHARGES,MATCH(source,[1]!PORTS,0),MATCH(vessel,[1]!PORT_CHARGE_SHIPS,0))/vessel_mmbtu))</f>
        <v/>
      </c>
      <c r="L292" s="120" t="str">
        <f aca="false">IF($G292=0,"",(+INDEX([1]!PORT_CHARGES,MATCH(destination,[1]!PORTS,0),MATCH(vessel,[1]!PORT_CHARGE_SHIPS,0))/vessel_mmbtu))</f>
        <v/>
      </c>
      <c r="M292" s="120" t="str">
        <f aca="false">IF($G292=0,"",IF(route_choice=1,INDEX([1]!PORT_CHARGES,MATCH(suez,[1]!PORTS,0),MATCH(vessel,[1]!PORT_CHARGE_SHIPS,0)),0)/vessel_mmbtu)</f>
        <v/>
      </c>
      <c r="N292" s="120" t="str">
        <f aca="false">+IF(G292=0,"",+HLOOKUP(vessel,[1]!other_cost,3,0))</f>
        <v/>
      </c>
      <c r="O292" s="121" t="str">
        <f aca="false">+IF(G292=0,"",SUM(H292:N292))</f>
        <v/>
      </c>
      <c r="P292" s="88"/>
      <c r="Q292" s="90"/>
    </row>
    <row r="293" customFormat="false" ht="12.75" hidden="false" customHeight="false" outlineLevel="0" collapsed="false">
      <c r="E293" s="117" t="n">
        <f aca="false">+DATE(YEAR(E292),MONTH(E292)+1,1)</f>
        <v>54544</v>
      </c>
      <c r="F293" s="118" t="e">
        <f aca="false">+VLOOKUP(E293,[1]!curvecalc,3,0)</f>
        <v>#N/A</v>
      </c>
      <c r="G293" s="119" t="n">
        <f aca="false">+IF(AND(startdate&lt;=E293,enddate&gt;=E293),1,0)</f>
        <v>0</v>
      </c>
      <c r="H293" s="120" t="str">
        <f aca="false">+IF($G293=0,"",(+VLOOKUP($E293,[1]!FIXED_CHARTER_COST,HLOOKUP(vessel_choice,[1]!FIXED_CHARTER_COST,2,0)+1,0)*roundtrip_days)/vessel_mmbtu)</f>
        <v/>
      </c>
      <c r="I293" s="120" t="str">
        <f aca="false">+IF($G293=0,"",(+VLOOKUP($E293,[1]!OM_CHARTER_COST,HLOOKUP(vessel_choice,[1]!OM_CHARTER_COST,2,0)+1,0)*roundtrip_days)/vessel_mmbtu)</f>
        <v/>
      </c>
      <c r="J293" s="120" t="str">
        <f aca="false">IF($G293=0,"",(INDEX([1]!bunker_cost,MATCH(route,[1]!bunker_cost_route,0),MATCH(vessel_choice,[1]!bunker_cost_ship,0))/vessel_mmbtu))</f>
        <v/>
      </c>
      <c r="K293" s="120" t="str">
        <f aca="false">IF($G293=0,"",(+INDEX([1]!PORT_CHARGES,MATCH(source,[1]!PORTS,0),MATCH(vessel,[1]!PORT_CHARGE_SHIPS,0))/vessel_mmbtu))</f>
        <v/>
      </c>
      <c r="L293" s="120" t="str">
        <f aca="false">IF($G293=0,"",(+INDEX([1]!PORT_CHARGES,MATCH(destination,[1]!PORTS,0),MATCH(vessel,[1]!PORT_CHARGE_SHIPS,0))/vessel_mmbtu))</f>
        <v/>
      </c>
      <c r="M293" s="120" t="str">
        <f aca="false">IF($G293=0,"",IF(route_choice=1,INDEX([1]!PORT_CHARGES,MATCH(suez,[1]!PORTS,0),MATCH(vessel,[1]!PORT_CHARGE_SHIPS,0)),0)/vessel_mmbtu)</f>
        <v/>
      </c>
      <c r="N293" s="120" t="str">
        <f aca="false">+IF(G293=0,"",+HLOOKUP(vessel,[1]!other_cost,3,0))</f>
        <v/>
      </c>
      <c r="O293" s="121" t="str">
        <f aca="false">+IF(G293=0,"",SUM(H293:N293))</f>
        <v/>
      </c>
      <c r="P293" s="88"/>
      <c r="Q293" s="90"/>
    </row>
    <row r="294" customFormat="false" ht="12.75" hidden="false" customHeight="false" outlineLevel="0" collapsed="false">
      <c r="E294" s="117" t="n">
        <f aca="false">+DATE(YEAR(E293),MONTH(E293)+1,1)</f>
        <v>54575</v>
      </c>
      <c r="F294" s="118" t="e">
        <f aca="false">+VLOOKUP(E294,[1]!curvecalc,3,0)</f>
        <v>#N/A</v>
      </c>
      <c r="G294" s="119" t="n">
        <f aca="false">+IF(AND(startdate&lt;=E294,enddate&gt;=E294),1,0)</f>
        <v>0</v>
      </c>
      <c r="H294" s="120" t="str">
        <f aca="false">+IF($G294=0,"",(+VLOOKUP($E294,[1]!FIXED_CHARTER_COST,HLOOKUP(vessel_choice,[1]!FIXED_CHARTER_COST,2,0)+1,0)*roundtrip_days)/vessel_mmbtu)</f>
        <v/>
      </c>
      <c r="I294" s="120" t="str">
        <f aca="false">+IF($G294=0,"",(+VLOOKUP($E294,[1]!OM_CHARTER_COST,HLOOKUP(vessel_choice,[1]!OM_CHARTER_COST,2,0)+1,0)*roundtrip_days)/vessel_mmbtu)</f>
        <v/>
      </c>
      <c r="J294" s="120" t="str">
        <f aca="false">IF($G294=0,"",(INDEX([1]!bunker_cost,MATCH(route,[1]!bunker_cost_route,0),MATCH(vessel_choice,[1]!bunker_cost_ship,0))/vessel_mmbtu))</f>
        <v/>
      </c>
      <c r="K294" s="120" t="str">
        <f aca="false">IF($G294=0,"",(+INDEX([1]!PORT_CHARGES,MATCH(source,[1]!PORTS,0),MATCH(vessel,[1]!PORT_CHARGE_SHIPS,0))/vessel_mmbtu))</f>
        <v/>
      </c>
      <c r="L294" s="120" t="str">
        <f aca="false">IF($G294=0,"",(+INDEX([1]!PORT_CHARGES,MATCH(destination,[1]!PORTS,0),MATCH(vessel,[1]!PORT_CHARGE_SHIPS,0))/vessel_mmbtu))</f>
        <v/>
      </c>
      <c r="M294" s="120" t="str">
        <f aca="false">IF($G294=0,"",IF(route_choice=1,INDEX([1]!PORT_CHARGES,MATCH(suez,[1]!PORTS,0),MATCH(vessel,[1]!PORT_CHARGE_SHIPS,0)),0)/vessel_mmbtu)</f>
        <v/>
      </c>
      <c r="N294" s="120" t="str">
        <f aca="false">+IF(G294=0,"",+HLOOKUP(vessel,[1]!other_cost,3,0))</f>
        <v/>
      </c>
      <c r="O294" s="121" t="str">
        <f aca="false">+IF(G294=0,"",SUM(H294:N294))</f>
        <v/>
      </c>
      <c r="P294" s="88"/>
      <c r="Q294" s="90"/>
    </row>
    <row r="295" customFormat="false" ht="12.75" hidden="false" customHeight="false" outlineLevel="0" collapsed="false">
      <c r="E295" s="117" t="n">
        <f aca="false">+DATE(YEAR(E294),MONTH(E294)+1,1)</f>
        <v>54605</v>
      </c>
      <c r="F295" s="118" t="e">
        <f aca="false">+VLOOKUP(E295,[1]!curvecalc,3,0)</f>
        <v>#N/A</v>
      </c>
      <c r="G295" s="119" t="n">
        <f aca="false">+IF(AND(startdate&lt;=E295,enddate&gt;=E295),1,0)</f>
        <v>0</v>
      </c>
      <c r="H295" s="120" t="str">
        <f aca="false">+IF($G295=0,"",(+VLOOKUP($E295,[1]!FIXED_CHARTER_COST,HLOOKUP(vessel_choice,[1]!FIXED_CHARTER_COST,2,0)+1,0)*roundtrip_days)/vessel_mmbtu)</f>
        <v/>
      </c>
      <c r="I295" s="120" t="str">
        <f aca="false">+IF($G295=0,"",(+VLOOKUP($E295,[1]!OM_CHARTER_COST,HLOOKUP(vessel_choice,[1]!OM_CHARTER_COST,2,0)+1,0)*roundtrip_days)/vessel_mmbtu)</f>
        <v/>
      </c>
      <c r="J295" s="120" t="str">
        <f aca="false">IF($G295=0,"",(INDEX([1]!bunker_cost,MATCH(route,[1]!bunker_cost_route,0),MATCH(vessel_choice,[1]!bunker_cost_ship,0))/vessel_mmbtu))</f>
        <v/>
      </c>
      <c r="K295" s="120" t="str">
        <f aca="false">IF($G295=0,"",(+INDEX([1]!PORT_CHARGES,MATCH(source,[1]!PORTS,0),MATCH(vessel,[1]!PORT_CHARGE_SHIPS,0))/vessel_mmbtu))</f>
        <v/>
      </c>
      <c r="L295" s="120" t="str">
        <f aca="false">IF($G295=0,"",(+INDEX([1]!PORT_CHARGES,MATCH(destination,[1]!PORTS,0),MATCH(vessel,[1]!PORT_CHARGE_SHIPS,0))/vessel_mmbtu))</f>
        <v/>
      </c>
      <c r="M295" s="120" t="str">
        <f aca="false">IF($G295=0,"",IF(route_choice=1,INDEX([1]!PORT_CHARGES,MATCH(suez,[1]!PORTS,0),MATCH(vessel,[1]!PORT_CHARGE_SHIPS,0)),0)/vessel_mmbtu)</f>
        <v/>
      </c>
      <c r="N295" s="120" t="str">
        <f aca="false">+IF(G295=0,"",+HLOOKUP(vessel,[1]!other_cost,3,0))</f>
        <v/>
      </c>
      <c r="O295" s="121" t="str">
        <f aca="false">+IF(G295=0,"",SUM(H295:N295))</f>
        <v/>
      </c>
      <c r="P295" s="88"/>
      <c r="Q295" s="90"/>
    </row>
    <row r="296" customFormat="false" ht="12.75" hidden="false" customHeight="false" outlineLevel="0" collapsed="false">
      <c r="E296" s="117" t="n">
        <f aca="false">+DATE(YEAR(E295),MONTH(E295)+1,1)</f>
        <v>54636</v>
      </c>
      <c r="F296" s="118" t="e">
        <f aca="false">+VLOOKUP(E296,[1]!curvecalc,3,0)</f>
        <v>#N/A</v>
      </c>
      <c r="G296" s="119" t="n">
        <f aca="false">+IF(AND(startdate&lt;=E296,enddate&gt;=E296),1,0)</f>
        <v>0</v>
      </c>
      <c r="H296" s="120" t="str">
        <f aca="false">+IF($G296=0,"",(+VLOOKUP($E296,[1]!FIXED_CHARTER_COST,HLOOKUP(vessel_choice,[1]!FIXED_CHARTER_COST,2,0)+1,0)*roundtrip_days)/vessel_mmbtu)</f>
        <v/>
      </c>
      <c r="I296" s="120" t="str">
        <f aca="false">+IF($G296=0,"",(+VLOOKUP($E296,[1]!OM_CHARTER_COST,HLOOKUP(vessel_choice,[1]!OM_CHARTER_COST,2,0)+1,0)*roundtrip_days)/vessel_mmbtu)</f>
        <v/>
      </c>
      <c r="J296" s="120" t="str">
        <f aca="false">IF($G296=0,"",(INDEX([1]!bunker_cost,MATCH(route,[1]!bunker_cost_route,0),MATCH(vessel_choice,[1]!bunker_cost_ship,0))/vessel_mmbtu))</f>
        <v/>
      </c>
      <c r="K296" s="120" t="str">
        <f aca="false">IF($G296=0,"",(+INDEX([1]!PORT_CHARGES,MATCH(source,[1]!PORTS,0),MATCH(vessel,[1]!PORT_CHARGE_SHIPS,0))/vessel_mmbtu))</f>
        <v/>
      </c>
      <c r="L296" s="120" t="str">
        <f aca="false">IF($G296=0,"",(+INDEX([1]!PORT_CHARGES,MATCH(destination,[1]!PORTS,0),MATCH(vessel,[1]!PORT_CHARGE_SHIPS,0))/vessel_mmbtu))</f>
        <v/>
      </c>
      <c r="M296" s="120" t="str">
        <f aca="false">IF($G296=0,"",IF(route_choice=1,INDEX([1]!PORT_CHARGES,MATCH(suez,[1]!PORTS,0),MATCH(vessel,[1]!PORT_CHARGE_SHIPS,0)),0)/vessel_mmbtu)</f>
        <v/>
      </c>
      <c r="N296" s="120" t="str">
        <f aca="false">+IF(G296=0,"",+HLOOKUP(vessel,[1]!other_cost,3,0))</f>
        <v/>
      </c>
      <c r="O296" s="121" t="str">
        <f aca="false">+IF(G296=0,"",SUM(H296:N296))</f>
        <v/>
      </c>
      <c r="P296" s="88"/>
      <c r="Q296" s="90"/>
    </row>
    <row r="297" customFormat="false" ht="12.75" hidden="false" customHeight="false" outlineLevel="0" collapsed="false">
      <c r="E297" s="117" t="n">
        <f aca="false">+DATE(YEAR(E296),MONTH(E296)+1,1)</f>
        <v>54667</v>
      </c>
      <c r="F297" s="118" t="e">
        <f aca="false">+VLOOKUP(E297,[1]!curvecalc,3,0)</f>
        <v>#N/A</v>
      </c>
      <c r="G297" s="119" t="n">
        <f aca="false">+IF(AND(startdate&lt;=E297,enddate&gt;=E297),1,0)</f>
        <v>0</v>
      </c>
      <c r="H297" s="120" t="str">
        <f aca="false">+IF($G297=0,"",(+VLOOKUP($E297,[1]!FIXED_CHARTER_COST,HLOOKUP(vessel_choice,[1]!FIXED_CHARTER_COST,2,0)+1,0)*roundtrip_days)/vessel_mmbtu)</f>
        <v/>
      </c>
      <c r="I297" s="120" t="str">
        <f aca="false">+IF($G297=0,"",(+VLOOKUP($E297,[1]!OM_CHARTER_COST,HLOOKUP(vessel_choice,[1]!OM_CHARTER_COST,2,0)+1,0)*roundtrip_days)/vessel_mmbtu)</f>
        <v/>
      </c>
      <c r="J297" s="120" t="str">
        <f aca="false">IF($G297=0,"",(INDEX([1]!bunker_cost,MATCH(route,[1]!bunker_cost_route,0),MATCH(vessel_choice,[1]!bunker_cost_ship,0))/vessel_mmbtu))</f>
        <v/>
      </c>
      <c r="K297" s="120" t="str">
        <f aca="false">IF($G297=0,"",(+INDEX([1]!PORT_CHARGES,MATCH(source,[1]!PORTS,0),MATCH(vessel,[1]!PORT_CHARGE_SHIPS,0))/vessel_mmbtu))</f>
        <v/>
      </c>
      <c r="L297" s="120" t="str">
        <f aca="false">IF($G297=0,"",(+INDEX([1]!PORT_CHARGES,MATCH(destination,[1]!PORTS,0),MATCH(vessel,[1]!PORT_CHARGE_SHIPS,0))/vessel_mmbtu))</f>
        <v/>
      </c>
      <c r="M297" s="120" t="str">
        <f aca="false">IF($G297=0,"",IF(route_choice=1,INDEX([1]!PORT_CHARGES,MATCH(suez,[1]!PORTS,0),MATCH(vessel,[1]!PORT_CHARGE_SHIPS,0)),0)/vessel_mmbtu)</f>
        <v/>
      </c>
      <c r="N297" s="120" t="str">
        <f aca="false">+IF(G297=0,"",+HLOOKUP(vessel,[1]!other_cost,3,0))</f>
        <v/>
      </c>
      <c r="O297" s="121" t="str">
        <f aca="false">+IF(G297=0,"",SUM(H297:N297))</f>
        <v/>
      </c>
      <c r="P297" s="88"/>
      <c r="Q297" s="90"/>
    </row>
    <row r="298" customFormat="false" ht="12.75" hidden="false" customHeight="false" outlineLevel="0" collapsed="false">
      <c r="E298" s="117" t="n">
        <f aca="false">+DATE(YEAR(E297),MONTH(E297)+1,1)</f>
        <v>54697</v>
      </c>
      <c r="F298" s="118" t="e">
        <f aca="false">+VLOOKUP(E298,[1]!curvecalc,3,0)</f>
        <v>#N/A</v>
      </c>
      <c r="G298" s="119" t="n">
        <f aca="false">+IF(AND(startdate&lt;=E298,enddate&gt;=E298),1,0)</f>
        <v>0</v>
      </c>
      <c r="H298" s="120" t="str">
        <f aca="false">+IF($G298=0,"",(+VLOOKUP($E298,[1]!FIXED_CHARTER_COST,HLOOKUP(vessel_choice,[1]!FIXED_CHARTER_COST,2,0)+1,0)*roundtrip_days)/vessel_mmbtu)</f>
        <v/>
      </c>
      <c r="I298" s="120" t="str">
        <f aca="false">+IF($G298=0,"",(+VLOOKUP($E298,[1]!OM_CHARTER_COST,HLOOKUP(vessel_choice,[1]!OM_CHARTER_COST,2,0)+1,0)*roundtrip_days)/vessel_mmbtu)</f>
        <v/>
      </c>
      <c r="J298" s="120" t="str">
        <f aca="false">IF($G298=0,"",(INDEX([1]!bunker_cost,MATCH(route,[1]!bunker_cost_route,0),MATCH(vessel_choice,[1]!bunker_cost_ship,0))/vessel_mmbtu))</f>
        <v/>
      </c>
      <c r="K298" s="120" t="str">
        <f aca="false">IF($G298=0,"",(+INDEX([1]!PORT_CHARGES,MATCH(source,[1]!PORTS,0),MATCH(vessel,[1]!PORT_CHARGE_SHIPS,0))/vessel_mmbtu))</f>
        <v/>
      </c>
      <c r="L298" s="120" t="str">
        <f aca="false">IF($G298=0,"",(+INDEX([1]!PORT_CHARGES,MATCH(destination,[1]!PORTS,0),MATCH(vessel,[1]!PORT_CHARGE_SHIPS,0))/vessel_mmbtu))</f>
        <v/>
      </c>
      <c r="M298" s="120" t="str">
        <f aca="false">IF($G298=0,"",IF(route_choice=1,INDEX([1]!PORT_CHARGES,MATCH(suez,[1]!PORTS,0),MATCH(vessel,[1]!PORT_CHARGE_SHIPS,0)),0)/vessel_mmbtu)</f>
        <v/>
      </c>
      <c r="N298" s="120" t="str">
        <f aca="false">+IF(G298=0,"",+HLOOKUP(vessel,[1]!other_cost,3,0))</f>
        <v/>
      </c>
      <c r="O298" s="121" t="str">
        <f aca="false">+IF(G298=0,"",SUM(H298:N298))</f>
        <v/>
      </c>
      <c r="P298" s="88"/>
      <c r="Q298" s="90"/>
    </row>
    <row r="299" customFormat="false" ht="12.75" hidden="false" customHeight="false" outlineLevel="0" collapsed="false">
      <c r="E299" s="117" t="n">
        <f aca="false">+DATE(YEAR(E298),MONTH(E298)+1,1)</f>
        <v>54728</v>
      </c>
      <c r="F299" s="118" t="e">
        <f aca="false">+VLOOKUP(E299,[1]!curvecalc,3,0)</f>
        <v>#N/A</v>
      </c>
      <c r="G299" s="119" t="n">
        <f aca="false">+IF(AND(startdate&lt;=E299,enddate&gt;=E299),1,0)</f>
        <v>0</v>
      </c>
      <c r="H299" s="120" t="str">
        <f aca="false">+IF($G299=0,"",(+VLOOKUP($E299,[1]!FIXED_CHARTER_COST,HLOOKUP(vessel_choice,[1]!FIXED_CHARTER_COST,2,0)+1,0)*roundtrip_days)/vessel_mmbtu)</f>
        <v/>
      </c>
      <c r="I299" s="120" t="str">
        <f aca="false">+IF($G299=0,"",(+VLOOKUP($E299,[1]!OM_CHARTER_COST,HLOOKUP(vessel_choice,[1]!OM_CHARTER_COST,2,0)+1,0)*roundtrip_days)/vessel_mmbtu)</f>
        <v/>
      </c>
      <c r="J299" s="120" t="str">
        <f aca="false">IF($G299=0,"",(INDEX([1]!bunker_cost,MATCH(route,[1]!bunker_cost_route,0),MATCH(vessel_choice,[1]!bunker_cost_ship,0))/vessel_mmbtu))</f>
        <v/>
      </c>
      <c r="K299" s="120" t="str">
        <f aca="false">IF($G299=0,"",(+INDEX([1]!PORT_CHARGES,MATCH(source,[1]!PORTS,0),MATCH(vessel,[1]!PORT_CHARGE_SHIPS,0))/vessel_mmbtu))</f>
        <v/>
      </c>
      <c r="L299" s="120" t="str">
        <f aca="false">IF($G299=0,"",(+INDEX([1]!PORT_CHARGES,MATCH(destination,[1]!PORTS,0),MATCH(vessel,[1]!PORT_CHARGE_SHIPS,0))/vessel_mmbtu))</f>
        <v/>
      </c>
      <c r="M299" s="120" t="str">
        <f aca="false">IF($G299=0,"",IF(route_choice=1,INDEX([1]!PORT_CHARGES,MATCH(suez,[1]!PORTS,0),MATCH(vessel,[1]!PORT_CHARGE_SHIPS,0)),0)/vessel_mmbtu)</f>
        <v/>
      </c>
      <c r="N299" s="120" t="str">
        <f aca="false">+IF(G299=0,"",+HLOOKUP(vessel,[1]!other_cost,3,0))</f>
        <v/>
      </c>
      <c r="O299" s="121" t="str">
        <f aca="false">+IF(G299=0,"",SUM(H299:N299))</f>
        <v/>
      </c>
      <c r="P299" s="88"/>
      <c r="Q299" s="90"/>
    </row>
    <row r="300" customFormat="false" ht="12.75" hidden="false" customHeight="false" outlineLevel="0" collapsed="false">
      <c r="E300" s="117" t="n">
        <f aca="false">+DATE(YEAR(E299),MONTH(E299)+1,1)</f>
        <v>54758</v>
      </c>
      <c r="F300" s="118" t="e">
        <f aca="false">+VLOOKUP(E300,[1]!curvecalc,3,0)</f>
        <v>#N/A</v>
      </c>
      <c r="G300" s="119" t="n">
        <f aca="false">+IF(AND(startdate&lt;=E300,enddate&gt;=E300),1,0)</f>
        <v>0</v>
      </c>
      <c r="H300" s="120" t="str">
        <f aca="false">+IF($G300=0,"",(+VLOOKUP($E300,[1]!FIXED_CHARTER_COST,HLOOKUP(vessel_choice,[1]!FIXED_CHARTER_COST,2,0)+1,0)*roundtrip_days)/vessel_mmbtu)</f>
        <v/>
      </c>
      <c r="I300" s="120" t="str">
        <f aca="false">+IF($G300=0,"",(+VLOOKUP($E300,[1]!OM_CHARTER_COST,HLOOKUP(vessel_choice,[1]!OM_CHARTER_COST,2,0)+1,0)*roundtrip_days)/vessel_mmbtu)</f>
        <v/>
      </c>
      <c r="J300" s="120" t="str">
        <f aca="false">IF($G300=0,"",(INDEX([1]!bunker_cost,MATCH(route,[1]!bunker_cost_route,0),MATCH(vessel_choice,[1]!bunker_cost_ship,0))/vessel_mmbtu))</f>
        <v/>
      </c>
      <c r="K300" s="120" t="str">
        <f aca="false">IF($G300=0,"",(+INDEX([1]!PORT_CHARGES,MATCH(source,[1]!PORTS,0),MATCH(vessel,[1]!PORT_CHARGE_SHIPS,0))/vessel_mmbtu))</f>
        <v/>
      </c>
      <c r="L300" s="120" t="str">
        <f aca="false">IF($G300=0,"",(+INDEX([1]!PORT_CHARGES,MATCH(destination,[1]!PORTS,0),MATCH(vessel,[1]!PORT_CHARGE_SHIPS,0))/vessel_mmbtu))</f>
        <v/>
      </c>
      <c r="M300" s="120" t="str">
        <f aca="false">IF($G300=0,"",IF(route_choice=1,INDEX([1]!PORT_CHARGES,MATCH(suez,[1]!PORTS,0),MATCH(vessel,[1]!PORT_CHARGE_SHIPS,0)),0)/vessel_mmbtu)</f>
        <v/>
      </c>
      <c r="N300" s="120" t="str">
        <f aca="false">+IF(G300=0,"",+HLOOKUP(vessel,[1]!other_cost,3,0))</f>
        <v/>
      </c>
      <c r="O300" s="121" t="str">
        <f aca="false">+IF(G300=0,"",SUM(H300:N300))</f>
        <v/>
      </c>
      <c r="P300" s="88"/>
      <c r="Q300" s="90"/>
    </row>
    <row r="301" customFormat="false" ht="12.75" hidden="false" customHeight="false" outlineLevel="0" collapsed="false">
      <c r="E301" s="117" t="n">
        <f aca="false">+DATE(YEAR(E300),MONTH(E300)+1,1)</f>
        <v>54789</v>
      </c>
      <c r="F301" s="118" t="e">
        <f aca="false">+VLOOKUP(E301,[1]!curvecalc,3,0)</f>
        <v>#N/A</v>
      </c>
      <c r="G301" s="119" t="n">
        <f aca="false">+IF(AND(startdate&lt;=E301,enddate&gt;=E301),1,0)</f>
        <v>0</v>
      </c>
      <c r="H301" s="120" t="str">
        <f aca="false">+IF($G301=0,"",(+VLOOKUP($E301,[1]!FIXED_CHARTER_COST,HLOOKUP(vessel_choice,[1]!FIXED_CHARTER_COST,2,0)+1,0)*roundtrip_days)/vessel_mmbtu)</f>
        <v/>
      </c>
      <c r="I301" s="120" t="str">
        <f aca="false">+IF($G301=0,"",(+VLOOKUP($E301,[1]!OM_CHARTER_COST,HLOOKUP(vessel_choice,[1]!OM_CHARTER_COST,2,0)+1,0)*roundtrip_days)/vessel_mmbtu)</f>
        <v/>
      </c>
      <c r="J301" s="120" t="str">
        <f aca="false">IF($G301=0,"",(INDEX([1]!bunker_cost,MATCH(route,[1]!bunker_cost_route,0),MATCH(vessel_choice,[1]!bunker_cost_ship,0))/vessel_mmbtu))</f>
        <v/>
      </c>
      <c r="K301" s="120" t="str">
        <f aca="false">IF($G301=0,"",(+INDEX([1]!PORT_CHARGES,MATCH(source,[1]!PORTS,0),MATCH(vessel,[1]!PORT_CHARGE_SHIPS,0))/vessel_mmbtu))</f>
        <v/>
      </c>
      <c r="L301" s="120" t="str">
        <f aca="false">IF($G301=0,"",(+INDEX([1]!PORT_CHARGES,MATCH(destination,[1]!PORTS,0),MATCH(vessel,[1]!PORT_CHARGE_SHIPS,0))/vessel_mmbtu))</f>
        <v/>
      </c>
      <c r="M301" s="120" t="str">
        <f aca="false">IF($G301=0,"",IF(route_choice=1,INDEX([1]!PORT_CHARGES,MATCH(suez,[1]!PORTS,0),MATCH(vessel,[1]!PORT_CHARGE_SHIPS,0)),0)/vessel_mmbtu)</f>
        <v/>
      </c>
      <c r="N301" s="120" t="str">
        <f aca="false">+IF(G301=0,"",+HLOOKUP(vessel,[1]!other_cost,3,0))</f>
        <v/>
      </c>
      <c r="O301" s="121" t="str">
        <f aca="false">+IF(G301=0,"",SUM(H301:N301))</f>
        <v/>
      </c>
      <c r="P301" s="88"/>
      <c r="Q301" s="90"/>
    </row>
    <row r="302" customFormat="false" ht="12.75" hidden="false" customHeight="false" outlineLevel="0" collapsed="false">
      <c r="E302" s="117" t="n">
        <f aca="false">+DATE(YEAR(E301),MONTH(E301)+1,1)</f>
        <v>54820</v>
      </c>
      <c r="F302" s="118" t="e">
        <f aca="false">+VLOOKUP(E302,[1]!curvecalc,3,0)</f>
        <v>#N/A</v>
      </c>
      <c r="G302" s="119" t="n">
        <f aca="false">+IF(AND(startdate&lt;=E302,enddate&gt;=E302),1,0)</f>
        <v>0</v>
      </c>
      <c r="H302" s="120" t="str">
        <f aca="false">+IF($G302=0,"",(+VLOOKUP($E302,[1]!FIXED_CHARTER_COST,HLOOKUP(vessel_choice,[1]!FIXED_CHARTER_COST,2,0)+1,0)*roundtrip_days)/vessel_mmbtu)</f>
        <v/>
      </c>
      <c r="I302" s="120" t="str">
        <f aca="false">+IF($G302=0,"",(+VLOOKUP($E302,[1]!OM_CHARTER_COST,HLOOKUP(vessel_choice,[1]!OM_CHARTER_COST,2,0)+1,0)*roundtrip_days)/vessel_mmbtu)</f>
        <v/>
      </c>
      <c r="J302" s="120" t="str">
        <f aca="false">IF($G302=0,"",(INDEX([1]!bunker_cost,MATCH(route,[1]!bunker_cost_route,0),MATCH(vessel_choice,[1]!bunker_cost_ship,0))/vessel_mmbtu))</f>
        <v/>
      </c>
      <c r="K302" s="120" t="str">
        <f aca="false">IF($G302=0,"",(+INDEX([1]!PORT_CHARGES,MATCH(source,[1]!PORTS,0),MATCH(vessel,[1]!PORT_CHARGE_SHIPS,0))/vessel_mmbtu))</f>
        <v/>
      </c>
      <c r="L302" s="120" t="str">
        <f aca="false">IF($G302=0,"",(+INDEX([1]!PORT_CHARGES,MATCH(destination,[1]!PORTS,0),MATCH(vessel,[1]!PORT_CHARGE_SHIPS,0))/vessel_mmbtu))</f>
        <v/>
      </c>
      <c r="M302" s="120" t="str">
        <f aca="false">IF($G302=0,"",IF(route_choice=1,INDEX([1]!PORT_CHARGES,MATCH(suez,[1]!PORTS,0),MATCH(vessel,[1]!PORT_CHARGE_SHIPS,0)),0)/vessel_mmbtu)</f>
        <v/>
      </c>
      <c r="N302" s="120" t="str">
        <f aca="false">+IF(G302=0,"",+HLOOKUP(vessel,[1]!other_cost,3,0))</f>
        <v/>
      </c>
      <c r="O302" s="121" t="str">
        <f aca="false">+IF(G302=0,"",SUM(H302:N302))</f>
        <v/>
      </c>
      <c r="P302" s="88"/>
      <c r="Q302" s="90"/>
    </row>
    <row r="303" customFormat="false" ht="12.75" hidden="false" customHeight="false" outlineLevel="0" collapsed="false">
      <c r="E303" s="117" t="n">
        <f aca="false">+DATE(YEAR(E302),MONTH(E302)+1,1)</f>
        <v>54848</v>
      </c>
      <c r="F303" s="118" t="e">
        <f aca="false">+VLOOKUP(E303,[1]!curvecalc,3,0)</f>
        <v>#N/A</v>
      </c>
      <c r="G303" s="119" t="n">
        <f aca="false">+IF(AND(startdate&lt;=E303,enddate&gt;=E303),1,0)</f>
        <v>0</v>
      </c>
      <c r="H303" s="120" t="str">
        <f aca="false">+IF($G303=0,"",(+VLOOKUP($E303,[1]!FIXED_CHARTER_COST,HLOOKUP(vessel_choice,[1]!FIXED_CHARTER_COST,2,0)+1,0)*roundtrip_days)/vessel_mmbtu)</f>
        <v/>
      </c>
      <c r="I303" s="120" t="str">
        <f aca="false">+IF($G303=0,"",(+VLOOKUP($E303,[1]!OM_CHARTER_COST,HLOOKUP(vessel_choice,[1]!OM_CHARTER_COST,2,0)+1,0)*roundtrip_days)/vessel_mmbtu)</f>
        <v/>
      </c>
      <c r="J303" s="120" t="str">
        <f aca="false">IF($G303=0,"",(INDEX([1]!bunker_cost,MATCH(route,[1]!bunker_cost_route,0),MATCH(vessel_choice,[1]!bunker_cost_ship,0))/vessel_mmbtu))</f>
        <v/>
      </c>
      <c r="K303" s="120" t="str">
        <f aca="false">IF($G303=0,"",(+INDEX([1]!PORT_CHARGES,MATCH(source,[1]!PORTS,0),MATCH(vessel,[1]!PORT_CHARGE_SHIPS,0))/vessel_mmbtu))</f>
        <v/>
      </c>
      <c r="L303" s="120" t="str">
        <f aca="false">IF($G303=0,"",(+INDEX([1]!PORT_CHARGES,MATCH(destination,[1]!PORTS,0),MATCH(vessel,[1]!PORT_CHARGE_SHIPS,0))/vessel_mmbtu))</f>
        <v/>
      </c>
      <c r="M303" s="120" t="str">
        <f aca="false">IF($G303=0,"",IF(route_choice=1,INDEX([1]!PORT_CHARGES,MATCH(suez,[1]!PORTS,0),MATCH(vessel,[1]!PORT_CHARGE_SHIPS,0)),0)/vessel_mmbtu)</f>
        <v/>
      </c>
      <c r="N303" s="120" t="str">
        <f aca="false">+IF(G303=0,"",+HLOOKUP(vessel,[1]!other_cost,3,0))</f>
        <v/>
      </c>
      <c r="O303" s="121" t="str">
        <f aca="false">+IF(G303=0,"",SUM(H303:N303))</f>
        <v/>
      </c>
      <c r="P303" s="88"/>
      <c r="Q303" s="90"/>
    </row>
    <row r="304" customFormat="false" ht="12.75" hidden="false" customHeight="false" outlineLevel="0" collapsed="false">
      <c r="E304" s="117" t="n">
        <f aca="false">+DATE(YEAR(E303),MONTH(E303)+1,1)</f>
        <v>54879</v>
      </c>
      <c r="F304" s="118" t="e">
        <f aca="false">+VLOOKUP(E304,[1]!curvecalc,3,0)</f>
        <v>#N/A</v>
      </c>
      <c r="G304" s="119" t="n">
        <f aca="false">+IF(AND(startdate&lt;=E304,enddate&gt;=E304),1,0)</f>
        <v>0</v>
      </c>
      <c r="H304" s="120" t="str">
        <f aca="false">+IF($G304=0,"",(+VLOOKUP($E304,[1]!FIXED_CHARTER_COST,HLOOKUP(vessel_choice,[1]!FIXED_CHARTER_COST,2,0)+1,0)*roundtrip_days)/vessel_mmbtu)</f>
        <v/>
      </c>
      <c r="I304" s="120" t="str">
        <f aca="false">+IF($G304=0,"",(+VLOOKUP($E304,[1]!OM_CHARTER_COST,HLOOKUP(vessel_choice,[1]!OM_CHARTER_COST,2,0)+1,0)*roundtrip_days)/vessel_mmbtu)</f>
        <v/>
      </c>
      <c r="J304" s="120" t="str">
        <f aca="false">IF($G304=0,"",(INDEX([1]!bunker_cost,MATCH(route,[1]!bunker_cost_route,0),MATCH(vessel_choice,[1]!bunker_cost_ship,0))/vessel_mmbtu))</f>
        <v/>
      </c>
      <c r="K304" s="120" t="str">
        <f aca="false">IF($G304=0,"",(+INDEX([1]!PORT_CHARGES,MATCH(source,[1]!PORTS,0),MATCH(vessel,[1]!PORT_CHARGE_SHIPS,0))/vessel_mmbtu))</f>
        <v/>
      </c>
      <c r="L304" s="120" t="str">
        <f aca="false">IF($G304=0,"",(+INDEX([1]!PORT_CHARGES,MATCH(destination,[1]!PORTS,0),MATCH(vessel,[1]!PORT_CHARGE_SHIPS,0))/vessel_mmbtu))</f>
        <v/>
      </c>
      <c r="M304" s="120" t="str">
        <f aca="false">IF($G304=0,"",IF(route_choice=1,INDEX([1]!PORT_CHARGES,MATCH(suez,[1]!PORTS,0),MATCH(vessel,[1]!PORT_CHARGE_SHIPS,0)),0)/vessel_mmbtu)</f>
        <v/>
      </c>
      <c r="N304" s="120" t="str">
        <f aca="false">+IF(G304=0,"",+HLOOKUP(vessel,[1]!other_cost,3,0))</f>
        <v/>
      </c>
      <c r="O304" s="121" t="str">
        <f aca="false">+IF(G304=0,"",SUM(H304:N304))</f>
        <v/>
      </c>
      <c r="P304" s="88"/>
      <c r="Q304" s="90"/>
    </row>
    <row r="305" customFormat="false" ht="12.75" hidden="false" customHeight="false" outlineLevel="0" collapsed="false">
      <c r="E305" s="117" t="n">
        <f aca="false">+DATE(YEAR(E304),MONTH(E304)+1,1)</f>
        <v>54909</v>
      </c>
      <c r="F305" s="118" t="e">
        <f aca="false">+VLOOKUP(E305,[1]!curvecalc,3,0)</f>
        <v>#N/A</v>
      </c>
      <c r="G305" s="119" t="n">
        <f aca="false">+IF(AND(startdate&lt;=E305,enddate&gt;=E305),1,0)</f>
        <v>0</v>
      </c>
      <c r="H305" s="120" t="str">
        <f aca="false">+IF($G305=0,"",(+VLOOKUP($E305,[1]!FIXED_CHARTER_COST,HLOOKUP(vessel_choice,[1]!FIXED_CHARTER_COST,2,0)+1,0)*roundtrip_days)/vessel_mmbtu)</f>
        <v/>
      </c>
      <c r="I305" s="120" t="str">
        <f aca="false">+IF($G305=0,"",(+VLOOKUP($E305,[1]!OM_CHARTER_COST,HLOOKUP(vessel_choice,[1]!OM_CHARTER_COST,2,0)+1,0)*roundtrip_days)/vessel_mmbtu)</f>
        <v/>
      </c>
      <c r="J305" s="120" t="str">
        <f aca="false">IF($G305=0,"",(INDEX([1]!bunker_cost,MATCH(route,[1]!bunker_cost_route,0),MATCH(vessel_choice,[1]!bunker_cost_ship,0))/vessel_mmbtu))</f>
        <v/>
      </c>
      <c r="K305" s="120" t="str">
        <f aca="false">IF($G305=0,"",(+INDEX([1]!PORT_CHARGES,MATCH(source,[1]!PORTS,0),MATCH(vessel,[1]!PORT_CHARGE_SHIPS,0))/vessel_mmbtu))</f>
        <v/>
      </c>
      <c r="L305" s="120" t="str">
        <f aca="false">IF($G305=0,"",(+INDEX([1]!PORT_CHARGES,MATCH(destination,[1]!PORTS,0),MATCH(vessel,[1]!PORT_CHARGE_SHIPS,0))/vessel_mmbtu))</f>
        <v/>
      </c>
      <c r="M305" s="120" t="str">
        <f aca="false">IF($G305=0,"",IF(route_choice=1,INDEX([1]!PORT_CHARGES,MATCH(suez,[1]!PORTS,0),MATCH(vessel,[1]!PORT_CHARGE_SHIPS,0)),0)/vessel_mmbtu)</f>
        <v/>
      </c>
      <c r="N305" s="120" t="str">
        <f aca="false">+IF(G305=0,"",+HLOOKUP(vessel,[1]!other_cost,3,0))</f>
        <v/>
      </c>
      <c r="O305" s="121" t="str">
        <f aca="false">+IF(G305=0,"",SUM(H305:N305))</f>
        <v/>
      </c>
      <c r="P305" s="88"/>
      <c r="Q305" s="90"/>
    </row>
    <row r="306" customFormat="false" ht="12.75" hidden="false" customHeight="false" outlineLevel="0" collapsed="false">
      <c r="E306" s="117" t="n">
        <f aca="false">+DATE(YEAR(E305),MONTH(E305)+1,1)</f>
        <v>54940</v>
      </c>
      <c r="F306" s="118" t="e">
        <f aca="false">+VLOOKUP(E306,[1]!curvecalc,3,0)</f>
        <v>#N/A</v>
      </c>
      <c r="G306" s="119" t="n">
        <f aca="false">+IF(AND(startdate&lt;=E306,enddate&gt;=E306),1,0)</f>
        <v>0</v>
      </c>
      <c r="H306" s="120" t="str">
        <f aca="false">+IF($G306=0,"",(+VLOOKUP($E306,[1]!FIXED_CHARTER_COST,HLOOKUP(vessel_choice,[1]!FIXED_CHARTER_COST,2,0)+1,0)*roundtrip_days)/vessel_mmbtu)</f>
        <v/>
      </c>
      <c r="I306" s="120" t="str">
        <f aca="false">+IF($G306=0,"",(+VLOOKUP($E306,[1]!OM_CHARTER_COST,HLOOKUP(vessel_choice,[1]!OM_CHARTER_COST,2,0)+1,0)*roundtrip_days)/vessel_mmbtu)</f>
        <v/>
      </c>
      <c r="J306" s="120" t="str">
        <f aca="false">IF($G306=0,"",(INDEX([1]!bunker_cost,MATCH(route,[1]!bunker_cost_route,0),MATCH(vessel_choice,[1]!bunker_cost_ship,0))/vessel_mmbtu))</f>
        <v/>
      </c>
      <c r="K306" s="120" t="str">
        <f aca="false">IF($G306=0,"",(+INDEX([1]!PORT_CHARGES,MATCH(source,[1]!PORTS,0),MATCH(vessel,[1]!PORT_CHARGE_SHIPS,0))/vessel_mmbtu))</f>
        <v/>
      </c>
      <c r="L306" s="120" t="str">
        <f aca="false">IF($G306=0,"",(+INDEX([1]!PORT_CHARGES,MATCH(destination,[1]!PORTS,0),MATCH(vessel,[1]!PORT_CHARGE_SHIPS,0))/vessel_mmbtu))</f>
        <v/>
      </c>
      <c r="M306" s="120" t="str">
        <f aca="false">IF($G306=0,"",IF(route_choice=1,INDEX([1]!PORT_CHARGES,MATCH(suez,[1]!PORTS,0),MATCH(vessel,[1]!PORT_CHARGE_SHIPS,0)),0)/vessel_mmbtu)</f>
        <v/>
      </c>
      <c r="N306" s="120" t="str">
        <f aca="false">+IF(G306=0,"",+HLOOKUP(vessel,[1]!other_cost,3,0))</f>
        <v/>
      </c>
      <c r="O306" s="121" t="str">
        <f aca="false">+IF(G306=0,"",SUM(H306:N306))</f>
        <v/>
      </c>
      <c r="P306" s="88"/>
      <c r="Q306" s="90"/>
    </row>
    <row r="307" customFormat="false" ht="12.75" hidden="false" customHeight="false" outlineLevel="0" collapsed="false">
      <c r="E307" s="117" t="n">
        <f aca="false">+DATE(YEAR(E306),MONTH(E306)+1,1)</f>
        <v>54970</v>
      </c>
      <c r="F307" s="118" t="e">
        <f aca="false">+VLOOKUP(E307,[1]!curvecalc,3,0)</f>
        <v>#N/A</v>
      </c>
      <c r="G307" s="119" t="n">
        <f aca="false">+IF(AND(startdate&lt;=E307,enddate&gt;=E307),1,0)</f>
        <v>0</v>
      </c>
      <c r="H307" s="120" t="str">
        <f aca="false">+IF($G307=0,"",(+VLOOKUP($E307,[1]!FIXED_CHARTER_COST,HLOOKUP(vessel_choice,[1]!FIXED_CHARTER_COST,2,0)+1,0)*roundtrip_days)/vessel_mmbtu)</f>
        <v/>
      </c>
      <c r="I307" s="120" t="str">
        <f aca="false">+IF($G307=0,"",(+VLOOKUP($E307,[1]!OM_CHARTER_COST,HLOOKUP(vessel_choice,[1]!OM_CHARTER_COST,2,0)+1,0)*roundtrip_days)/vessel_mmbtu)</f>
        <v/>
      </c>
      <c r="J307" s="120" t="str">
        <f aca="false">IF($G307=0,"",(INDEX([1]!bunker_cost,MATCH(route,[1]!bunker_cost_route,0),MATCH(vessel_choice,[1]!bunker_cost_ship,0))/vessel_mmbtu))</f>
        <v/>
      </c>
      <c r="K307" s="120" t="str">
        <f aca="false">IF($G307=0,"",(+INDEX([1]!PORT_CHARGES,MATCH(source,[1]!PORTS,0),MATCH(vessel,[1]!PORT_CHARGE_SHIPS,0))/vessel_mmbtu))</f>
        <v/>
      </c>
      <c r="L307" s="120" t="str">
        <f aca="false">IF($G307=0,"",(+INDEX([1]!PORT_CHARGES,MATCH(destination,[1]!PORTS,0),MATCH(vessel,[1]!PORT_CHARGE_SHIPS,0))/vessel_mmbtu))</f>
        <v/>
      </c>
      <c r="M307" s="120" t="str">
        <f aca="false">IF($G307=0,"",IF(route_choice=1,INDEX([1]!PORT_CHARGES,MATCH(suez,[1]!PORTS,0),MATCH(vessel,[1]!PORT_CHARGE_SHIPS,0)),0)/vessel_mmbtu)</f>
        <v/>
      </c>
      <c r="N307" s="120" t="str">
        <f aca="false">+IF(G307=0,"",+HLOOKUP(vessel,[1]!other_cost,3,0))</f>
        <v/>
      </c>
      <c r="O307" s="121" t="str">
        <f aca="false">+IF(G307=0,"",SUM(H307:N307))</f>
        <v/>
      </c>
      <c r="P307" s="88"/>
      <c r="Q307" s="90"/>
    </row>
    <row r="308" customFormat="false" ht="12.75" hidden="false" customHeight="false" outlineLevel="0" collapsed="false">
      <c r="E308" s="117" t="n">
        <f aca="false">+DATE(YEAR(E307),MONTH(E307)+1,1)</f>
        <v>55001</v>
      </c>
      <c r="F308" s="118" t="e">
        <f aca="false">+VLOOKUP(E308,[1]!curvecalc,3,0)</f>
        <v>#N/A</v>
      </c>
      <c r="G308" s="119" t="n">
        <f aca="false">+IF(AND(startdate&lt;=E308,enddate&gt;=E308),1,0)</f>
        <v>0</v>
      </c>
      <c r="H308" s="120" t="str">
        <f aca="false">+IF($G308=0,"",(+VLOOKUP($E308,[1]!FIXED_CHARTER_COST,HLOOKUP(vessel_choice,[1]!FIXED_CHARTER_COST,2,0)+1,0)*roundtrip_days)/vessel_mmbtu)</f>
        <v/>
      </c>
      <c r="I308" s="120" t="str">
        <f aca="false">+IF($G308=0,"",(+VLOOKUP($E308,[1]!OM_CHARTER_COST,HLOOKUP(vessel_choice,[1]!OM_CHARTER_COST,2,0)+1,0)*roundtrip_days)/vessel_mmbtu)</f>
        <v/>
      </c>
      <c r="J308" s="120" t="str">
        <f aca="false">IF($G308=0,"",(INDEX([1]!bunker_cost,MATCH(route,[1]!bunker_cost_route,0),MATCH(vessel_choice,[1]!bunker_cost_ship,0))/vessel_mmbtu))</f>
        <v/>
      </c>
      <c r="K308" s="120" t="str">
        <f aca="false">IF($G308=0,"",(+INDEX([1]!PORT_CHARGES,MATCH(source,[1]!PORTS,0),MATCH(vessel,[1]!PORT_CHARGE_SHIPS,0))/vessel_mmbtu))</f>
        <v/>
      </c>
      <c r="L308" s="120" t="str">
        <f aca="false">IF($G308=0,"",(+INDEX([1]!PORT_CHARGES,MATCH(destination,[1]!PORTS,0),MATCH(vessel,[1]!PORT_CHARGE_SHIPS,0))/vessel_mmbtu))</f>
        <v/>
      </c>
      <c r="M308" s="120" t="str">
        <f aca="false">IF($G308=0,"",IF(route_choice=1,INDEX([1]!PORT_CHARGES,MATCH(suez,[1]!PORTS,0),MATCH(vessel,[1]!PORT_CHARGE_SHIPS,0)),0)/vessel_mmbtu)</f>
        <v/>
      </c>
      <c r="N308" s="120" t="str">
        <f aca="false">+IF(G308=0,"",+HLOOKUP(vessel,[1]!other_cost,3,0))</f>
        <v/>
      </c>
      <c r="O308" s="121" t="str">
        <f aca="false">+IF(G308=0,"",SUM(H308:N308))</f>
        <v/>
      </c>
      <c r="P308" s="88"/>
      <c r="Q308" s="90"/>
    </row>
    <row r="309" customFormat="false" ht="12.75" hidden="false" customHeight="false" outlineLevel="0" collapsed="false">
      <c r="E309" s="117" t="n">
        <f aca="false">+DATE(YEAR(E308),MONTH(E308)+1,1)</f>
        <v>55032</v>
      </c>
      <c r="F309" s="118" t="e">
        <f aca="false">+VLOOKUP(E309,[1]!curvecalc,3,0)</f>
        <v>#N/A</v>
      </c>
      <c r="G309" s="119" t="n">
        <f aca="false">+IF(AND(startdate&lt;=E309,enddate&gt;=E309),1,0)</f>
        <v>0</v>
      </c>
      <c r="H309" s="120" t="str">
        <f aca="false">+IF($G309=0,"",(+VLOOKUP($E309,[1]!FIXED_CHARTER_COST,HLOOKUP(vessel_choice,[1]!FIXED_CHARTER_COST,2,0)+1,0)*roundtrip_days)/vessel_mmbtu)</f>
        <v/>
      </c>
      <c r="I309" s="120" t="str">
        <f aca="false">+IF($G309=0,"",(+VLOOKUP($E309,[1]!OM_CHARTER_COST,HLOOKUP(vessel_choice,[1]!OM_CHARTER_COST,2,0)+1,0)*roundtrip_days)/vessel_mmbtu)</f>
        <v/>
      </c>
      <c r="J309" s="120" t="str">
        <f aca="false">IF($G309=0,"",(INDEX([1]!bunker_cost,MATCH(route,[1]!bunker_cost_route,0),MATCH(vessel_choice,[1]!bunker_cost_ship,0))/vessel_mmbtu))</f>
        <v/>
      </c>
      <c r="K309" s="120" t="str">
        <f aca="false">IF($G309=0,"",(+INDEX([1]!PORT_CHARGES,MATCH(source,[1]!PORTS,0),MATCH(vessel,[1]!PORT_CHARGE_SHIPS,0))/vessel_mmbtu))</f>
        <v/>
      </c>
      <c r="L309" s="120" t="str">
        <f aca="false">IF($G309=0,"",(+INDEX([1]!PORT_CHARGES,MATCH(destination,[1]!PORTS,0),MATCH(vessel,[1]!PORT_CHARGE_SHIPS,0))/vessel_mmbtu))</f>
        <v/>
      </c>
      <c r="M309" s="120" t="str">
        <f aca="false">IF($G309=0,"",IF(route_choice=1,INDEX([1]!PORT_CHARGES,MATCH(suez,[1]!PORTS,0),MATCH(vessel,[1]!PORT_CHARGE_SHIPS,0)),0)/vessel_mmbtu)</f>
        <v/>
      </c>
      <c r="N309" s="120" t="str">
        <f aca="false">+IF(G309=0,"",+HLOOKUP(vessel,[1]!other_cost,3,0))</f>
        <v/>
      </c>
      <c r="O309" s="121" t="str">
        <f aca="false">+IF(G309=0,"",SUM(H309:N309))</f>
        <v/>
      </c>
      <c r="P309" s="88"/>
      <c r="Q309" s="90"/>
    </row>
    <row r="310" customFormat="false" ht="12.75" hidden="false" customHeight="false" outlineLevel="0" collapsed="false">
      <c r="E310" s="117" t="n">
        <f aca="false">+DATE(YEAR(E309),MONTH(E309)+1,1)</f>
        <v>55062</v>
      </c>
      <c r="F310" s="118" t="e">
        <f aca="false">+VLOOKUP(E310,[1]!curvecalc,3,0)</f>
        <v>#N/A</v>
      </c>
      <c r="G310" s="119" t="n">
        <f aca="false">+IF(AND(startdate&lt;=E310,enddate&gt;=E310),1,0)</f>
        <v>0</v>
      </c>
      <c r="H310" s="120" t="str">
        <f aca="false">+IF($G310=0,"",(+VLOOKUP($E310,[1]!FIXED_CHARTER_COST,HLOOKUP(vessel_choice,[1]!FIXED_CHARTER_COST,2,0)+1,0)*roundtrip_days)/vessel_mmbtu)</f>
        <v/>
      </c>
      <c r="I310" s="120" t="str">
        <f aca="false">+IF($G310=0,"",(+VLOOKUP($E310,[1]!OM_CHARTER_COST,HLOOKUP(vessel_choice,[1]!OM_CHARTER_COST,2,0)+1,0)*roundtrip_days)/vessel_mmbtu)</f>
        <v/>
      </c>
      <c r="J310" s="120" t="str">
        <f aca="false">IF($G310=0,"",(INDEX([1]!bunker_cost,MATCH(route,[1]!bunker_cost_route,0),MATCH(vessel_choice,[1]!bunker_cost_ship,0))/vessel_mmbtu))</f>
        <v/>
      </c>
      <c r="K310" s="120" t="str">
        <f aca="false">IF($G310=0,"",(+INDEX([1]!PORT_CHARGES,MATCH(source,[1]!PORTS,0),MATCH(vessel,[1]!PORT_CHARGE_SHIPS,0))/vessel_mmbtu))</f>
        <v/>
      </c>
      <c r="L310" s="120" t="str">
        <f aca="false">IF($G310=0,"",(+INDEX([1]!PORT_CHARGES,MATCH(destination,[1]!PORTS,0),MATCH(vessel,[1]!PORT_CHARGE_SHIPS,0))/vessel_mmbtu))</f>
        <v/>
      </c>
      <c r="M310" s="120" t="str">
        <f aca="false">IF($G310=0,"",IF(route_choice=1,INDEX([1]!PORT_CHARGES,MATCH(suez,[1]!PORTS,0),MATCH(vessel,[1]!PORT_CHARGE_SHIPS,0)),0)/vessel_mmbtu)</f>
        <v/>
      </c>
      <c r="N310" s="120" t="str">
        <f aca="false">+IF(G310=0,"",+HLOOKUP(vessel,[1]!other_cost,3,0))</f>
        <v/>
      </c>
      <c r="O310" s="121" t="str">
        <f aca="false">+IF(G310=0,"",SUM(H310:N310))</f>
        <v/>
      </c>
      <c r="P310" s="88"/>
      <c r="Q310" s="90"/>
    </row>
    <row r="311" customFormat="false" ht="12.75" hidden="false" customHeight="false" outlineLevel="0" collapsed="false">
      <c r="E311" s="117" t="n">
        <f aca="false">+DATE(YEAR(E310),MONTH(E310)+1,1)</f>
        <v>55093</v>
      </c>
      <c r="F311" s="118" t="e">
        <f aca="false">+VLOOKUP(E311,[1]!curvecalc,3,0)</f>
        <v>#N/A</v>
      </c>
      <c r="G311" s="119" t="n">
        <f aca="false">+IF(AND(startdate&lt;=E311,enddate&gt;=E311),1,0)</f>
        <v>0</v>
      </c>
      <c r="H311" s="120" t="str">
        <f aca="false">+IF($G311=0,"",(+VLOOKUP($E311,[1]!FIXED_CHARTER_COST,HLOOKUP(vessel_choice,[1]!FIXED_CHARTER_COST,2,0)+1,0)*roundtrip_days)/vessel_mmbtu)</f>
        <v/>
      </c>
      <c r="I311" s="120" t="str">
        <f aca="false">+IF($G311=0,"",(+VLOOKUP($E311,[1]!OM_CHARTER_COST,HLOOKUP(vessel_choice,[1]!OM_CHARTER_COST,2,0)+1,0)*roundtrip_days)/vessel_mmbtu)</f>
        <v/>
      </c>
      <c r="J311" s="120" t="str">
        <f aca="false">IF($G311=0,"",(INDEX([1]!bunker_cost,MATCH(route,[1]!bunker_cost_route,0),MATCH(vessel_choice,[1]!bunker_cost_ship,0))/vessel_mmbtu))</f>
        <v/>
      </c>
      <c r="K311" s="120" t="str">
        <f aca="false">IF($G311=0,"",(+INDEX([1]!PORT_CHARGES,MATCH(source,[1]!PORTS,0),MATCH(vessel,[1]!PORT_CHARGE_SHIPS,0))/vessel_mmbtu))</f>
        <v/>
      </c>
      <c r="L311" s="120" t="str">
        <f aca="false">IF($G311=0,"",(+INDEX([1]!PORT_CHARGES,MATCH(destination,[1]!PORTS,0),MATCH(vessel,[1]!PORT_CHARGE_SHIPS,0))/vessel_mmbtu))</f>
        <v/>
      </c>
      <c r="M311" s="120" t="str">
        <f aca="false">IF($G311=0,"",IF(route_choice=1,INDEX([1]!PORT_CHARGES,MATCH(suez,[1]!PORTS,0),MATCH(vessel,[1]!PORT_CHARGE_SHIPS,0)),0)/vessel_mmbtu)</f>
        <v/>
      </c>
      <c r="N311" s="120" t="str">
        <f aca="false">+IF(G311=0,"",+HLOOKUP(vessel,[1]!other_cost,3,0))</f>
        <v/>
      </c>
      <c r="O311" s="121" t="str">
        <f aca="false">+IF(G311=0,"",SUM(H311:N311))</f>
        <v/>
      </c>
      <c r="P311" s="88"/>
      <c r="Q311" s="90"/>
    </row>
    <row r="312" customFormat="false" ht="12.75" hidden="false" customHeight="false" outlineLevel="0" collapsed="false">
      <c r="E312" s="117" t="n">
        <f aca="false">+DATE(YEAR(E311),MONTH(E311)+1,1)</f>
        <v>55123</v>
      </c>
      <c r="F312" s="118" t="e">
        <f aca="false">+VLOOKUP(E312,[1]!curvecalc,3,0)</f>
        <v>#N/A</v>
      </c>
      <c r="G312" s="119" t="n">
        <f aca="false">+IF(AND(startdate&lt;=E312,enddate&gt;=E312),1,0)</f>
        <v>0</v>
      </c>
      <c r="H312" s="120" t="str">
        <f aca="false">+IF($G312=0,"",(+VLOOKUP($E312,[1]!FIXED_CHARTER_COST,HLOOKUP(vessel_choice,[1]!FIXED_CHARTER_COST,2,0)+1,0)*roundtrip_days)/vessel_mmbtu)</f>
        <v/>
      </c>
      <c r="I312" s="120" t="str">
        <f aca="false">+IF($G312=0,"",(+VLOOKUP($E312,[1]!OM_CHARTER_COST,HLOOKUP(vessel_choice,[1]!OM_CHARTER_COST,2,0)+1,0)*roundtrip_days)/vessel_mmbtu)</f>
        <v/>
      </c>
      <c r="J312" s="120" t="str">
        <f aca="false">IF($G312=0,"",(INDEX([1]!bunker_cost,MATCH(route,[1]!bunker_cost_route,0),MATCH(vessel_choice,[1]!bunker_cost_ship,0))/vessel_mmbtu))</f>
        <v/>
      </c>
      <c r="K312" s="120" t="str">
        <f aca="false">IF($G312=0,"",(+INDEX([1]!PORT_CHARGES,MATCH(source,[1]!PORTS,0),MATCH(vessel,[1]!PORT_CHARGE_SHIPS,0))/vessel_mmbtu))</f>
        <v/>
      </c>
      <c r="L312" s="120" t="str">
        <f aca="false">IF($G312=0,"",(+INDEX([1]!PORT_CHARGES,MATCH(destination,[1]!PORTS,0),MATCH(vessel,[1]!PORT_CHARGE_SHIPS,0))/vessel_mmbtu))</f>
        <v/>
      </c>
      <c r="M312" s="120" t="str">
        <f aca="false">IF($G312=0,"",IF(route_choice=1,INDEX([1]!PORT_CHARGES,MATCH(suez,[1]!PORTS,0),MATCH(vessel,[1]!PORT_CHARGE_SHIPS,0)),0)/vessel_mmbtu)</f>
        <v/>
      </c>
      <c r="N312" s="120" t="str">
        <f aca="false">+IF(G312=0,"",+HLOOKUP(vessel,[1]!other_cost,3,0))</f>
        <v/>
      </c>
      <c r="O312" s="121" t="str">
        <f aca="false">+IF(G312=0,"",SUM(H312:N312))</f>
        <v/>
      </c>
      <c r="P312" s="88"/>
      <c r="Q312" s="90"/>
    </row>
    <row r="313" customFormat="false" ht="12.75" hidden="false" customHeight="false" outlineLevel="0" collapsed="false">
      <c r="E313" s="117" t="n">
        <f aca="false">+DATE(YEAR(E312),MONTH(E312)+1,1)</f>
        <v>55154</v>
      </c>
      <c r="F313" s="118" t="e">
        <f aca="false">+VLOOKUP(E313,[1]!curvecalc,3,0)</f>
        <v>#N/A</v>
      </c>
      <c r="G313" s="119" t="n">
        <f aca="false">+IF(AND(startdate&lt;=E313,enddate&gt;=E313),1,0)</f>
        <v>0</v>
      </c>
      <c r="H313" s="120" t="str">
        <f aca="false">+IF($G313=0,"",(+VLOOKUP($E313,[1]!FIXED_CHARTER_COST,HLOOKUP(vessel_choice,[1]!FIXED_CHARTER_COST,2,0)+1,0)*roundtrip_days)/vessel_mmbtu)</f>
        <v/>
      </c>
      <c r="I313" s="120" t="str">
        <f aca="false">+IF($G313=0,"",(+VLOOKUP($E313,[1]!OM_CHARTER_COST,HLOOKUP(vessel_choice,[1]!OM_CHARTER_COST,2,0)+1,0)*roundtrip_days)/vessel_mmbtu)</f>
        <v/>
      </c>
      <c r="J313" s="120" t="str">
        <f aca="false">IF($G313=0,"",(INDEX([1]!bunker_cost,MATCH(route,[1]!bunker_cost_route,0),MATCH(vessel_choice,[1]!bunker_cost_ship,0))/vessel_mmbtu))</f>
        <v/>
      </c>
      <c r="K313" s="120" t="str">
        <f aca="false">IF($G313=0,"",(+INDEX([1]!PORT_CHARGES,MATCH(source,[1]!PORTS,0),MATCH(vessel,[1]!PORT_CHARGE_SHIPS,0))/vessel_mmbtu))</f>
        <v/>
      </c>
      <c r="L313" s="120" t="str">
        <f aca="false">IF($G313=0,"",(+INDEX([1]!PORT_CHARGES,MATCH(destination,[1]!PORTS,0),MATCH(vessel,[1]!PORT_CHARGE_SHIPS,0))/vessel_mmbtu))</f>
        <v/>
      </c>
      <c r="M313" s="120" t="str">
        <f aca="false">IF($G313=0,"",IF(route_choice=1,INDEX([1]!PORT_CHARGES,MATCH(suez,[1]!PORTS,0),MATCH(vessel,[1]!PORT_CHARGE_SHIPS,0)),0)/vessel_mmbtu)</f>
        <v/>
      </c>
      <c r="N313" s="120" t="str">
        <f aca="false">+IF(G313=0,"",+HLOOKUP(vessel,[1]!other_cost,3,0))</f>
        <v/>
      </c>
      <c r="O313" s="121" t="str">
        <f aca="false">+IF(G313=0,"",SUM(H313:N313))</f>
        <v/>
      </c>
      <c r="P313" s="88"/>
      <c r="Q313" s="90"/>
    </row>
    <row r="314" customFormat="false" ht="12.75" hidden="false" customHeight="false" outlineLevel="0" collapsed="false">
      <c r="E314" s="130" t="n">
        <f aca="false">+DATE(YEAR(E313),MONTH(E313)+1,1)</f>
        <v>55185</v>
      </c>
      <c r="F314" s="131" t="e">
        <f aca="false">+VLOOKUP(E314,[1]!curvecalc,3,0)</f>
        <v>#N/A</v>
      </c>
      <c r="G314" s="132" t="n">
        <f aca="false">+IF(AND(startdate&lt;=E314,enddate&gt;=E314),1,0)</f>
        <v>0</v>
      </c>
      <c r="H314" s="133" t="str">
        <f aca="false">+IF($G314=0,"",(+VLOOKUP($E314,[1]!FIXED_CHARTER_COST,HLOOKUP(vessel_choice,[1]!FIXED_CHARTER_COST,2,0)+1,0)*roundtrip_days)/vessel_mmbtu)</f>
        <v/>
      </c>
      <c r="I314" s="133" t="str">
        <f aca="false">+IF($G314=0,"",(+VLOOKUP($E314,[1]!OM_CHARTER_COST,HLOOKUP(vessel_choice,[1]!OM_CHARTER_COST,2,0)+1,0)*roundtrip_days)/vessel_mmbtu)</f>
        <v/>
      </c>
      <c r="J314" s="133" t="str">
        <f aca="false">IF($G314=0,"",(INDEX([1]!bunker_cost,MATCH(route,[1]!bunker_cost_route,0),MATCH(vessel_choice,[1]!bunker_cost_ship,0))/vessel_mmbtu))</f>
        <v/>
      </c>
      <c r="K314" s="133" t="str">
        <f aca="false">IF($G314=0,"",(+INDEX([1]!PORT_CHARGES,MATCH(source,[1]!PORTS,0),MATCH(vessel,[1]!PORT_CHARGE_SHIPS,0))/vessel_mmbtu))</f>
        <v/>
      </c>
      <c r="L314" s="133" t="str">
        <f aca="false">IF($G314=0,"",(+INDEX([1]!PORT_CHARGES,MATCH(destination,[1]!PORTS,0),MATCH(vessel,[1]!PORT_CHARGE_SHIPS,0))/vessel_mmbtu))</f>
        <v/>
      </c>
      <c r="M314" s="133" t="str">
        <f aca="false">IF($G314=0,"",IF(route_choice=1,INDEX([1]!PORT_CHARGES,MATCH(suez,[1]!PORTS,0),MATCH(vessel,[1]!PORT_CHARGE_SHIPS,0)),0)/vessel_mmbtu)</f>
        <v/>
      </c>
      <c r="N314" s="133" t="str">
        <f aca="false">+IF(G314=0,"",+HLOOKUP(vessel,[1]!other_cost,3,0))</f>
        <v/>
      </c>
      <c r="O314" s="134" t="str">
        <f aca="false">+IF(G314=0,"",SUM(H314:N314))</f>
        <v/>
      </c>
      <c r="P314" s="88"/>
      <c r="Q314" s="90"/>
    </row>
    <row r="315" customFormat="false" ht="12.75" hidden="false" customHeight="false" outlineLevel="0" collapsed="false">
      <c r="E315" s="135"/>
      <c r="F315" s="135"/>
      <c r="G315" s="90"/>
      <c r="H315" s="90"/>
      <c r="I315" s="90"/>
      <c r="J315" s="90"/>
      <c r="K315" s="90"/>
      <c r="L315" s="90"/>
      <c r="M315" s="90"/>
      <c r="N315" s="90"/>
      <c r="O315" s="90"/>
      <c r="P315" s="88"/>
      <c r="Q315" s="90"/>
    </row>
    <row r="316" customFormat="false" ht="12.75" hidden="false" customHeight="false" outlineLevel="0" collapsed="false">
      <c r="E316" s="135"/>
      <c r="F316" s="135"/>
      <c r="G316" s="90"/>
      <c r="H316" s="90"/>
      <c r="I316" s="90"/>
      <c r="J316" s="90"/>
      <c r="K316" s="90"/>
      <c r="L316" s="90"/>
      <c r="M316" s="90"/>
      <c r="N316" s="90"/>
      <c r="O316" s="90"/>
      <c r="P316" s="88"/>
      <c r="Q316" s="90"/>
    </row>
    <row r="317" customFormat="false" ht="12.75" hidden="false" customHeight="false" outlineLevel="0" collapsed="false">
      <c r="E317" s="135"/>
      <c r="F317" s="135"/>
      <c r="G317" s="90"/>
      <c r="H317" s="90"/>
      <c r="I317" s="90"/>
      <c r="J317" s="90"/>
      <c r="K317" s="90"/>
      <c r="L317" s="90"/>
      <c r="M317" s="90"/>
      <c r="N317" s="90"/>
      <c r="O317" s="90"/>
      <c r="P317" s="88"/>
      <c r="Q317" s="90"/>
    </row>
    <row r="318" customFormat="false" ht="12.75" hidden="false" customHeight="false" outlineLevel="0" collapsed="false">
      <c r="E318" s="135"/>
      <c r="F318" s="135"/>
      <c r="G318" s="90"/>
      <c r="H318" s="90"/>
      <c r="I318" s="90"/>
      <c r="J318" s="90"/>
      <c r="K318" s="90"/>
      <c r="L318" s="90"/>
      <c r="M318" s="90"/>
      <c r="N318" s="90"/>
      <c r="O318" s="90"/>
      <c r="P318" s="88"/>
      <c r="Q318" s="90"/>
    </row>
    <row r="319" customFormat="false" ht="12.75" hidden="false" customHeight="false" outlineLevel="0" collapsed="false">
      <c r="E319" s="135"/>
      <c r="F319" s="135"/>
      <c r="G319" s="90"/>
      <c r="H319" s="90"/>
      <c r="I319" s="90"/>
      <c r="J319" s="90"/>
      <c r="K319" s="90"/>
      <c r="L319" s="90"/>
      <c r="M319" s="90"/>
      <c r="N319" s="90"/>
      <c r="O319" s="90"/>
      <c r="P319" s="88"/>
      <c r="Q319" s="90"/>
    </row>
    <row r="320" customFormat="false" ht="12.75" hidden="false" customHeight="false" outlineLevel="0" collapsed="false">
      <c r="E320" s="135"/>
      <c r="F320" s="135"/>
      <c r="G320" s="90"/>
      <c r="H320" s="90"/>
      <c r="I320" s="90"/>
      <c r="J320" s="90"/>
      <c r="K320" s="90"/>
      <c r="L320" s="90"/>
      <c r="M320" s="90"/>
      <c r="N320" s="90"/>
      <c r="O320" s="90"/>
      <c r="P320" s="88"/>
      <c r="Q320" s="90"/>
    </row>
    <row r="321" customFormat="false" ht="12.75" hidden="false" customHeight="false" outlineLevel="0" collapsed="false">
      <c r="E321" s="135"/>
      <c r="F321" s="135"/>
      <c r="G321" s="90"/>
      <c r="H321" s="90"/>
      <c r="I321" s="90"/>
      <c r="J321" s="90"/>
      <c r="K321" s="90"/>
      <c r="L321" s="90"/>
      <c r="M321" s="90"/>
      <c r="N321" s="90"/>
      <c r="O321" s="90"/>
      <c r="P321" s="88"/>
      <c r="Q321" s="90"/>
    </row>
    <row r="322" customFormat="false" ht="12.75" hidden="false" customHeight="false" outlineLevel="0" collapsed="false">
      <c r="E322" s="135"/>
      <c r="F322" s="135"/>
      <c r="G322" s="90"/>
      <c r="H322" s="90"/>
      <c r="I322" s="90"/>
      <c r="J322" s="90"/>
      <c r="K322" s="90"/>
      <c r="L322" s="90"/>
      <c r="M322" s="90"/>
      <c r="N322" s="90"/>
      <c r="O322" s="90"/>
      <c r="P322" s="88"/>
      <c r="Q322" s="90"/>
    </row>
    <row r="323" customFormat="false" ht="12.75" hidden="false" customHeight="false" outlineLevel="0" collapsed="false">
      <c r="E323" s="135"/>
      <c r="F323" s="135"/>
      <c r="G323" s="90"/>
      <c r="H323" s="90"/>
      <c r="I323" s="90"/>
      <c r="J323" s="90"/>
      <c r="K323" s="90"/>
      <c r="L323" s="90"/>
      <c r="M323" s="90"/>
      <c r="N323" s="90"/>
      <c r="O323" s="90"/>
      <c r="P323" s="88"/>
      <c r="Q323" s="90"/>
    </row>
    <row r="324" customFormat="false" ht="12.75" hidden="false" customHeight="false" outlineLevel="0" collapsed="false">
      <c r="E324" s="135"/>
      <c r="F324" s="135"/>
      <c r="G324" s="90"/>
      <c r="H324" s="90"/>
      <c r="I324" s="90"/>
      <c r="J324" s="90"/>
      <c r="K324" s="90"/>
      <c r="L324" s="90"/>
      <c r="M324" s="90"/>
      <c r="N324" s="90"/>
      <c r="O324" s="90"/>
      <c r="P324" s="88"/>
      <c r="Q324" s="90"/>
    </row>
    <row r="325" customFormat="false" ht="12.75" hidden="false" customHeight="false" outlineLevel="0" collapsed="false">
      <c r="E325" s="135"/>
      <c r="F325" s="135"/>
      <c r="G325" s="90"/>
      <c r="H325" s="90"/>
      <c r="I325" s="90"/>
      <c r="J325" s="90"/>
      <c r="K325" s="90"/>
      <c r="L325" s="90"/>
      <c r="M325" s="90"/>
      <c r="N325" s="90"/>
      <c r="O325" s="90"/>
      <c r="P325" s="88"/>
      <c r="Q325" s="90"/>
    </row>
    <row r="326" customFormat="false" ht="12.75" hidden="false" customHeight="false" outlineLevel="0" collapsed="false">
      <c r="E326" s="135"/>
      <c r="F326" s="135"/>
      <c r="G326" s="90"/>
      <c r="H326" s="90"/>
      <c r="I326" s="90"/>
      <c r="J326" s="90"/>
      <c r="K326" s="90"/>
      <c r="L326" s="90"/>
      <c r="M326" s="90"/>
      <c r="N326" s="90"/>
      <c r="O326" s="90"/>
      <c r="P326" s="88"/>
      <c r="Q326" s="90"/>
    </row>
    <row r="327" customFormat="false" ht="12.75" hidden="false" customHeight="false" outlineLevel="0" collapsed="false">
      <c r="E327" s="135"/>
      <c r="F327" s="135"/>
      <c r="G327" s="90"/>
      <c r="H327" s="90"/>
      <c r="I327" s="90"/>
      <c r="J327" s="90"/>
      <c r="K327" s="90"/>
      <c r="L327" s="90"/>
      <c r="M327" s="90"/>
      <c r="N327" s="90"/>
      <c r="O327" s="90"/>
      <c r="P327" s="88"/>
      <c r="Q327" s="90"/>
    </row>
    <row r="328" customFormat="false" ht="12.75" hidden="false" customHeight="false" outlineLevel="0" collapsed="false">
      <c r="E328" s="135"/>
      <c r="F328" s="135"/>
      <c r="G328" s="90"/>
      <c r="H328" s="90"/>
      <c r="I328" s="90"/>
      <c r="J328" s="90"/>
      <c r="K328" s="90"/>
      <c r="L328" s="90"/>
      <c r="M328" s="90"/>
      <c r="N328" s="90"/>
      <c r="O328" s="90"/>
      <c r="P328" s="88"/>
      <c r="Q328" s="90"/>
    </row>
    <row r="329" customFormat="false" ht="12.75" hidden="false" customHeight="false" outlineLevel="0" collapsed="false">
      <c r="E329" s="135"/>
      <c r="F329" s="135"/>
      <c r="G329" s="90"/>
      <c r="H329" s="90"/>
      <c r="I329" s="90"/>
      <c r="J329" s="90"/>
      <c r="K329" s="90"/>
      <c r="L329" s="90"/>
      <c r="M329" s="90"/>
      <c r="N329" s="90"/>
      <c r="O329" s="90"/>
      <c r="P329" s="88"/>
      <c r="Q329" s="90"/>
    </row>
    <row r="330" customFormat="false" ht="12.75" hidden="false" customHeight="false" outlineLevel="0" collapsed="false">
      <c r="E330" s="135"/>
      <c r="F330" s="135"/>
      <c r="G330" s="90"/>
      <c r="H330" s="90"/>
      <c r="I330" s="90"/>
      <c r="J330" s="90"/>
      <c r="K330" s="90"/>
      <c r="L330" s="90"/>
      <c r="M330" s="90"/>
      <c r="N330" s="90"/>
      <c r="O330" s="90"/>
      <c r="P330" s="88"/>
      <c r="Q330" s="90"/>
    </row>
    <row r="331" customFormat="false" ht="12.75" hidden="false" customHeight="false" outlineLevel="0" collapsed="false">
      <c r="E331" s="135"/>
      <c r="F331" s="135"/>
      <c r="G331" s="90"/>
      <c r="H331" s="90"/>
      <c r="I331" s="90"/>
      <c r="J331" s="90"/>
      <c r="K331" s="90"/>
      <c r="L331" s="90"/>
      <c r="M331" s="90"/>
      <c r="N331" s="90"/>
      <c r="O331" s="90"/>
      <c r="P331" s="88"/>
      <c r="Q331" s="90"/>
    </row>
    <row r="332" customFormat="false" ht="12.75" hidden="false" customHeight="false" outlineLevel="0" collapsed="false">
      <c r="E332" s="135"/>
      <c r="F332" s="135"/>
      <c r="G332" s="90"/>
      <c r="H332" s="90"/>
      <c r="I332" s="90"/>
      <c r="J332" s="90"/>
      <c r="K332" s="90"/>
      <c r="L332" s="90"/>
      <c r="M332" s="90"/>
      <c r="N332" s="90"/>
      <c r="O332" s="90"/>
      <c r="P332" s="88"/>
      <c r="Q332" s="90"/>
    </row>
    <row r="333" customFormat="false" ht="12.75" hidden="false" customHeight="false" outlineLevel="0" collapsed="false">
      <c r="E333" s="135"/>
      <c r="F333" s="135"/>
      <c r="G333" s="90"/>
      <c r="H333" s="90"/>
      <c r="I333" s="90"/>
      <c r="J333" s="90"/>
      <c r="K333" s="90"/>
      <c r="L333" s="90"/>
      <c r="M333" s="90"/>
      <c r="N333" s="90"/>
      <c r="O333" s="90"/>
      <c r="P333" s="88"/>
      <c r="Q333" s="90"/>
    </row>
    <row r="334" customFormat="false" ht="12.75" hidden="false" customHeight="false" outlineLevel="0" collapsed="false">
      <c r="E334" s="135"/>
      <c r="F334" s="135"/>
      <c r="G334" s="90"/>
      <c r="H334" s="90"/>
      <c r="I334" s="90"/>
      <c r="J334" s="90"/>
      <c r="K334" s="90"/>
      <c r="L334" s="90"/>
      <c r="M334" s="90"/>
      <c r="N334" s="90"/>
      <c r="O334" s="90"/>
      <c r="P334" s="88"/>
      <c r="Q334" s="90"/>
    </row>
    <row r="335" customFormat="false" ht="12.75" hidden="false" customHeight="false" outlineLevel="0" collapsed="false">
      <c r="E335" s="135"/>
      <c r="F335" s="135"/>
      <c r="G335" s="90"/>
      <c r="H335" s="90"/>
      <c r="I335" s="90"/>
      <c r="J335" s="90"/>
      <c r="K335" s="90"/>
      <c r="L335" s="90"/>
      <c r="M335" s="90"/>
      <c r="N335" s="90"/>
      <c r="O335" s="90"/>
      <c r="P335" s="88"/>
      <c r="Q335" s="90"/>
    </row>
    <row r="336" customFormat="false" ht="12.75" hidden="false" customHeight="false" outlineLevel="0" collapsed="false">
      <c r="E336" s="135"/>
      <c r="F336" s="135"/>
      <c r="G336" s="90"/>
      <c r="H336" s="90"/>
      <c r="I336" s="90"/>
      <c r="J336" s="90"/>
      <c r="K336" s="90"/>
      <c r="L336" s="90"/>
      <c r="M336" s="90"/>
      <c r="N336" s="90"/>
      <c r="O336" s="90"/>
      <c r="P336" s="88"/>
      <c r="Q336" s="90"/>
    </row>
    <row r="337" customFormat="false" ht="12.75" hidden="false" customHeight="false" outlineLevel="0" collapsed="false">
      <c r="E337" s="135"/>
      <c r="F337" s="135"/>
      <c r="G337" s="90"/>
      <c r="H337" s="90"/>
      <c r="I337" s="90"/>
      <c r="J337" s="90"/>
      <c r="K337" s="90"/>
      <c r="L337" s="90"/>
      <c r="M337" s="90"/>
      <c r="N337" s="90"/>
      <c r="O337" s="90"/>
      <c r="P337" s="88"/>
      <c r="Q337" s="90"/>
    </row>
    <row r="338" customFormat="false" ht="12.75" hidden="false" customHeight="false" outlineLevel="0" collapsed="false">
      <c r="E338" s="135"/>
      <c r="F338" s="135"/>
      <c r="G338" s="90"/>
      <c r="H338" s="90"/>
      <c r="I338" s="90"/>
      <c r="J338" s="90"/>
      <c r="K338" s="90"/>
      <c r="L338" s="90"/>
      <c r="M338" s="90"/>
      <c r="N338" s="90"/>
      <c r="O338" s="90"/>
      <c r="P338" s="88"/>
      <c r="Q338" s="90"/>
    </row>
    <row r="339" customFormat="false" ht="12.75" hidden="false" customHeight="false" outlineLevel="0" collapsed="false">
      <c r="E339" s="135"/>
      <c r="F339" s="135"/>
      <c r="G339" s="90"/>
      <c r="H339" s="90"/>
      <c r="I339" s="90"/>
      <c r="J339" s="90"/>
      <c r="K339" s="90"/>
      <c r="L339" s="90"/>
      <c r="M339" s="90"/>
      <c r="N339" s="90"/>
      <c r="O339" s="90"/>
      <c r="P339" s="88"/>
      <c r="Q339" s="90"/>
    </row>
    <row r="340" customFormat="false" ht="12.75" hidden="false" customHeight="false" outlineLevel="0" collapsed="false">
      <c r="E340" s="135"/>
      <c r="F340" s="135"/>
      <c r="G340" s="90"/>
      <c r="H340" s="90"/>
      <c r="I340" s="90"/>
      <c r="J340" s="90"/>
      <c r="K340" s="90"/>
      <c r="L340" s="90"/>
      <c r="M340" s="90"/>
      <c r="N340" s="90"/>
      <c r="O340" s="90"/>
      <c r="P340" s="88"/>
      <c r="Q340" s="90"/>
    </row>
    <row r="341" customFormat="false" ht="12.75" hidden="false" customHeight="false" outlineLevel="0" collapsed="false">
      <c r="E341" s="135"/>
      <c r="F341" s="135"/>
      <c r="G341" s="90"/>
      <c r="H341" s="90"/>
      <c r="I341" s="90"/>
      <c r="J341" s="90"/>
      <c r="K341" s="90"/>
      <c r="L341" s="90"/>
      <c r="M341" s="90"/>
      <c r="N341" s="90"/>
      <c r="O341" s="90"/>
      <c r="P341" s="88"/>
      <c r="Q341" s="90"/>
    </row>
    <row r="342" customFormat="false" ht="12.75" hidden="false" customHeight="false" outlineLevel="0" collapsed="false">
      <c r="E342" s="135"/>
      <c r="F342" s="135"/>
      <c r="G342" s="90"/>
      <c r="H342" s="90"/>
      <c r="I342" s="90"/>
      <c r="J342" s="90"/>
      <c r="K342" s="90"/>
      <c r="L342" s="90"/>
      <c r="M342" s="90"/>
      <c r="N342" s="90"/>
      <c r="O342" s="90"/>
      <c r="P342" s="88"/>
      <c r="Q342" s="90"/>
    </row>
    <row r="343" customFormat="false" ht="12.75" hidden="false" customHeight="false" outlineLevel="0" collapsed="false">
      <c r="E343" s="135"/>
      <c r="F343" s="135"/>
      <c r="G343" s="90"/>
      <c r="H343" s="90"/>
      <c r="I343" s="90"/>
      <c r="J343" s="90"/>
      <c r="K343" s="90"/>
      <c r="L343" s="90"/>
      <c r="M343" s="90"/>
      <c r="N343" s="90"/>
      <c r="O343" s="90"/>
      <c r="P343" s="88"/>
      <c r="Q343" s="90"/>
    </row>
    <row r="344" customFormat="false" ht="12.75" hidden="false" customHeight="false" outlineLevel="0" collapsed="false">
      <c r="E344" s="135"/>
      <c r="F344" s="135"/>
      <c r="G344" s="90"/>
      <c r="H344" s="90"/>
      <c r="I344" s="90"/>
      <c r="J344" s="90"/>
      <c r="K344" s="90"/>
      <c r="L344" s="90"/>
      <c r="M344" s="90"/>
      <c r="N344" s="90"/>
      <c r="O344" s="90"/>
      <c r="P344" s="88"/>
      <c r="Q344" s="90"/>
    </row>
    <row r="345" customFormat="false" ht="12.75" hidden="false" customHeight="false" outlineLevel="0" collapsed="false">
      <c r="E345" s="135"/>
      <c r="F345" s="135"/>
      <c r="G345" s="90"/>
      <c r="H345" s="90"/>
      <c r="I345" s="90"/>
      <c r="J345" s="90"/>
      <c r="K345" s="90"/>
      <c r="L345" s="90"/>
      <c r="M345" s="90"/>
      <c r="N345" s="90"/>
      <c r="O345" s="90"/>
      <c r="P345" s="88"/>
      <c r="Q345" s="90"/>
    </row>
    <row r="346" customFormat="false" ht="12.75" hidden="false" customHeight="false" outlineLevel="0" collapsed="false">
      <c r="E346" s="135"/>
      <c r="F346" s="135"/>
      <c r="G346" s="90"/>
      <c r="H346" s="90"/>
      <c r="I346" s="90"/>
      <c r="J346" s="90"/>
      <c r="K346" s="90"/>
      <c r="L346" s="90"/>
      <c r="M346" s="90"/>
      <c r="N346" s="90"/>
      <c r="O346" s="90"/>
      <c r="P346" s="88"/>
      <c r="Q346" s="90"/>
    </row>
    <row r="347" customFormat="false" ht="12.75" hidden="false" customHeight="false" outlineLevel="0" collapsed="false">
      <c r="E347" s="135"/>
      <c r="F347" s="135"/>
      <c r="G347" s="90"/>
      <c r="H347" s="90"/>
      <c r="I347" s="90"/>
      <c r="J347" s="90"/>
      <c r="K347" s="90"/>
      <c r="L347" s="90"/>
      <c r="M347" s="90"/>
      <c r="N347" s="90"/>
      <c r="O347" s="90"/>
      <c r="P347" s="88"/>
      <c r="Q347" s="90"/>
    </row>
    <row r="348" customFormat="false" ht="12.75" hidden="false" customHeight="false" outlineLevel="0" collapsed="false">
      <c r="E348" s="135"/>
      <c r="F348" s="135"/>
      <c r="G348" s="90"/>
      <c r="H348" s="90"/>
      <c r="I348" s="90"/>
      <c r="J348" s="90"/>
      <c r="K348" s="90"/>
      <c r="L348" s="90"/>
      <c r="M348" s="90"/>
      <c r="N348" s="90"/>
      <c r="O348" s="90"/>
      <c r="P348" s="88"/>
      <c r="Q348" s="90"/>
    </row>
    <row r="349" customFormat="false" ht="12.75" hidden="false" customHeight="false" outlineLevel="0" collapsed="false">
      <c r="E349" s="135"/>
      <c r="F349" s="135"/>
      <c r="G349" s="90"/>
      <c r="H349" s="90"/>
      <c r="I349" s="90"/>
      <c r="J349" s="90"/>
      <c r="K349" s="90"/>
      <c r="L349" s="90"/>
      <c r="M349" s="90"/>
      <c r="N349" s="90"/>
      <c r="O349" s="90"/>
      <c r="P349" s="88"/>
      <c r="Q349" s="90"/>
    </row>
    <row r="350" customFormat="false" ht="12.75" hidden="false" customHeight="false" outlineLevel="0" collapsed="false">
      <c r="E350" s="135"/>
      <c r="F350" s="135"/>
      <c r="G350" s="90"/>
      <c r="H350" s="90"/>
      <c r="I350" s="90"/>
      <c r="J350" s="90"/>
      <c r="K350" s="90"/>
      <c r="L350" s="90"/>
      <c r="M350" s="90"/>
      <c r="N350" s="90"/>
      <c r="O350" s="90"/>
      <c r="P350" s="88"/>
      <c r="Q350" s="90"/>
    </row>
    <row r="351" customFormat="false" ht="12.75" hidden="false" customHeight="false" outlineLevel="0" collapsed="false">
      <c r="E351" s="135"/>
      <c r="F351" s="135"/>
      <c r="G351" s="90"/>
      <c r="H351" s="90"/>
      <c r="I351" s="90"/>
      <c r="J351" s="90"/>
      <c r="K351" s="90"/>
      <c r="L351" s="90"/>
      <c r="M351" s="90"/>
      <c r="N351" s="90"/>
      <c r="O351" s="90"/>
      <c r="P351" s="88"/>
      <c r="Q351" s="90"/>
    </row>
    <row r="352" customFormat="false" ht="12.75" hidden="false" customHeight="false" outlineLevel="0" collapsed="false">
      <c r="E352" s="135"/>
      <c r="F352" s="135"/>
      <c r="G352" s="90"/>
      <c r="H352" s="90"/>
      <c r="I352" s="90"/>
      <c r="J352" s="90"/>
      <c r="K352" s="90"/>
      <c r="L352" s="90"/>
      <c r="M352" s="90"/>
      <c r="N352" s="90"/>
      <c r="O352" s="90"/>
      <c r="P352" s="88"/>
      <c r="Q352" s="90"/>
    </row>
    <row r="353" customFormat="false" ht="12.75" hidden="false" customHeight="false" outlineLevel="0" collapsed="false">
      <c r="E353" s="135"/>
      <c r="F353" s="135"/>
      <c r="G353" s="90"/>
      <c r="H353" s="90"/>
      <c r="I353" s="90"/>
      <c r="J353" s="90"/>
      <c r="K353" s="90"/>
      <c r="L353" s="90"/>
      <c r="M353" s="90"/>
      <c r="N353" s="90"/>
      <c r="O353" s="90"/>
      <c r="P353" s="88"/>
      <c r="Q353" s="90"/>
    </row>
    <row r="354" customFormat="false" ht="12.75" hidden="false" customHeight="false" outlineLevel="0" collapsed="false">
      <c r="E354" s="135"/>
      <c r="F354" s="135"/>
      <c r="G354" s="90"/>
      <c r="H354" s="90"/>
      <c r="I354" s="90"/>
      <c r="J354" s="90"/>
      <c r="K354" s="90"/>
      <c r="L354" s="90"/>
      <c r="M354" s="90"/>
      <c r="N354" s="90"/>
      <c r="O354" s="90"/>
      <c r="P354" s="88"/>
      <c r="Q354" s="90"/>
    </row>
    <row r="355" customFormat="false" ht="12.75" hidden="false" customHeight="false" outlineLevel="0" collapsed="false">
      <c r="E355" s="135"/>
      <c r="F355" s="135"/>
      <c r="G355" s="90"/>
      <c r="H355" s="90"/>
      <c r="I355" s="90"/>
      <c r="J355" s="90"/>
      <c r="K355" s="90"/>
      <c r="L355" s="90"/>
      <c r="M355" s="90"/>
      <c r="N355" s="90"/>
      <c r="O355" s="90"/>
      <c r="P355" s="88"/>
      <c r="Q355" s="90"/>
    </row>
    <row r="356" customFormat="false" ht="12.75" hidden="false" customHeight="false" outlineLevel="0" collapsed="false">
      <c r="E356" s="135"/>
      <c r="F356" s="135"/>
      <c r="G356" s="90"/>
      <c r="H356" s="90"/>
      <c r="I356" s="90"/>
      <c r="J356" s="90"/>
      <c r="K356" s="90"/>
      <c r="L356" s="90"/>
      <c r="M356" s="90"/>
      <c r="N356" s="90"/>
      <c r="O356" s="90"/>
      <c r="P356" s="88"/>
      <c r="Q356" s="90"/>
    </row>
    <row r="357" customFormat="false" ht="12.75" hidden="false" customHeight="false" outlineLevel="0" collapsed="false">
      <c r="E357" s="135"/>
      <c r="F357" s="135"/>
      <c r="G357" s="90"/>
      <c r="H357" s="90"/>
      <c r="I357" s="90"/>
      <c r="J357" s="90"/>
      <c r="K357" s="90"/>
      <c r="L357" s="90"/>
      <c r="M357" s="90"/>
      <c r="N357" s="90"/>
      <c r="O357" s="90"/>
      <c r="P357" s="88"/>
      <c r="Q357" s="90"/>
    </row>
    <row r="358" customFormat="false" ht="12.75" hidden="false" customHeight="false" outlineLevel="0" collapsed="false">
      <c r="E358" s="135"/>
      <c r="F358" s="135"/>
      <c r="G358" s="90"/>
      <c r="H358" s="90"/>
      <c r="I358" s="90"/>
      <c r="J358" s="90"/>
      <c r="K358" s="90"/>
      <c r="L358" s="90"/>
      <c r="M358" s="90"/>
      <c r="N358" s="90"/>
      <c r="O358" s="90"/>
      <c r="P358" s="88"/>
      <c r="Q358" s="90"/>
    </row>
    <row r="359" customFormat="false" ht="12.75" hidden="false" customHeight="false" outlineLevel="0" collapsed="false">
      <c r="E359" s="135"/>
      <c r="F359" s="135"/>
      <c r="G359" s="90"/>
      <c r="H359" s="90"/>
      <c r="I359" s="90"/>
      <c r="J359" s="90"/>
      <c r="K359" s="90"/>
      <c r="L359" s="90"/>
      <c r="M359" s="90"/>
      <c r="N359" s="90"/>
      <c r="O359" s="90"/>
      <c r="P359" s="88"/>
      <c r="Q359" s="90"/>
    </row>
    <row r="360" customFormat="false" ht="12.75" hidden="false" customHeight="false" outlineLevel="0" collapsed="false">
      <c r="E360" s="135"/>
      <c r="F360" s="135"/>
      <c r="G360" s="90"/>
      <c r="H360" s="90"/>
      <c r="I360" s="90"/>
      <c r="J360" s="90"/>
      <c r="K360" s="90"/>
      <c r="L360" s="90"/>
      <c r="M360" s="90"/>
      <c r="N360" s="90"/>
      <c r="O360" s="90"/>
      <c r="P360" s="88"/>
      <c r="Q360" s="90"/>
    </row>
    <row r="361" customFormat="false" ht="12.75" hidden="false" customHeight="false" outlineLevel="0" collapsed="false">
      <c r="G361" s="90"/>
      <c r="H361" s="90"/>
      <c r="I361" s="90"/>
      <c r="J361" s="90"/>
      <c r="K361" s="90"/>
      <c r="L361" s="90"/>
      <c r="M361" s="90"/>
      <c r="N361" s="90"/>
      <c r="O361" s="90"/>
      <c r="P361" s="88"/>
      <c r="Q361" s="90"/>
    </row>
    <row r="362" customFormat="false" ht="12.75" hidden="false" customHeight="false" outlineLevel="0" collapsed="false">
      <c r="G362" s="90"/>
      <c r="H362" s="90"/>
      <c r="I362" s="90"/>
      <c r="J362" s="90"/>
      <c r="K362" s="90"/>
      <c r="L362" s="90"/>
      <c r="M362" s="90"/>
      <c r="N362" s="90"/>
      <c r="O362" s="90"/>
      <c r="P362" s="88"/>
      <c r="Q362" s="90"/>
    </row>
    <row r="363" customFormat="false" ht="12.75" hidden="false" customHeight="false" outlineLevel="0" collapsed="false">
      <c r="G363" s="90"/>
      <c r="H363" s="90"/>
      <c r="I363" s="90"/>
      <c r="J363" s="90"/>
      <c r="K363" s="90"/>
      <c r="L363" s="90"/>
      <c r="M363" s="90"/>
      <c r="N363" s="90"/>
      <c r="O363" s="90"/>
      <c r="P363" s="88"/>
      <c r="Q363" s="90"/>
    </row>
    <row r="364" customFormat="false" ht="12.75" hidden="false" customHeight="false" outlineLevel="0" collapsed="false">
      <c r="G364" s="90"/>
      <c r="H364" s="90"/>
      <c r="I364" s="90"/>
      <c r="J364" s="90"/>
      <c r="K364" s="90"/>
      <c r="L364" s="90"/>
      <c r="M364" s="90"/>
      <c r="N364" s="90"/>
      <c r="O364" s="90"/>
      <c r="P364" s="88"/>
      <c r="Q364" s="90"/>
    </row>
    <row r="365" customFormat="false" ht="12.75" hidden="false" customHeight="false" outlineLevel="0" collapsed="false">
      <c r="G365" s="90"/>
      <c r="H365" s="90"/>
      <c r="I365" s="90"/>
      <c r="J365" s="90"/>
      <c r="K365" s="90"/>
      <c r="L365" s="90"/>
      <c r="M365" s="90"/>
      <c r="N365" s="90"/>
      <c r="O365" s="90"/>
      <c r="P365" s="88"/>
      <c r="Q365" s="90"/>
    </row>
    <row r="366" customFormat="false" ht="12.75" hidden="false" customHeight="false" outlineLevel="0" collapsed="false">
      <c r="G366" s="90"/>
      <c r="H366" s="90"/>
      <c r="I366" s="90"/>
      <c r="J366" s="90"/>
      <c r="K366" s="90"/>
      <c r="L366" s="90"/>
      <c r="M366" s="90"/>
      <c r="N366" s="90"/>
      <c r="O366" s="90"/>
      <c r="P366" s="88"/>
      <c r="Q366" s="90"/>
    </row>
    <row r="367" customFormat="false" ht="12.75" hidden="false" customHeight="false" outlineLevel="0" collapsed="false">
      <c r="G367" s="90"/>
      <c r="H367" s="90"/>
      <c r="I367" s="90"/>
      <c r="J367" s="90"/>
      <c r="K367" s="90"/>
      <c r="L367" s="90"/>
      <c r="M367" s="90"/>
      <c r="N367" s="90"/>
      <c r="O367" s="90"/>
      <c r="P367" s="88"/>
      <c r="Q367" s="90"/>
    </row>
    <row r="368" customFormat="false" ht="12.75" hidden="false" customHeight="false" outlineLevel="0" collapsed="false">
      <c r="G368" s="90"/>
      <c r="H368" s="90"/>
      <c r="I368" s="90"/>
      <c r="J368" s="90"/>
      <c r="K368" s="90"/>
      <c r="L368" s="90"/>
      <c r="M368" s="90"/>
      <c r="N368" s="90"/>
      <c r="O368" s="90"/>
      <c r="P368" s="88"/>
      <c r="Q368" s="90"/>
    </row>
    <row r="369" customFormat="false" ht="12.75" hidden="false" customHeight="false" outlineLevel="0" collapsed="false">
      <c r="G369" s="90"/>
      <c r="H369" s="90"/>
      <c r="I369" s="90"/>
      <c r="J369" s="90"/>
      <c r="K369" s="90"/>
      <c r="L369" s="90"/>
      <c r="M369" s="90"/>
      <c r="N369" s="90"/>
      <c r="O369" s="90"/>
      <c r="P369" s="88"/>
      <c r="Q369" s="90"/>
    </row>
    <row r="370" customFormat="false" ht="12.75" hidden="false" customHeight="false" outlineLevel="0" collapsed="false">
      <c r="G370" s="90"/>
      <c r="H370" s="90"/>
      <c r="I370" s="90"/>
      <c r="J370" s="90"/>
      <c r="K370" s="90"/>
      <c r="L370" s="90"/>
      <c r="M370" s="90"/>
      <c r="N370" s="90"/>
      <c r="O370" s="90"/>
      <c r="P370" s="88"/>
      <c r="Q370" s="90"/>
    </row>
    <row r="371" customFormat="false" ht="12.75" hidden="false" customHeight="false" outlineLevel="0" collapsed="false">
      <c r="G371" s="90"/>
      <c r="H371" s="90"/>
      <c r="I371" s="90"/>
      <c r="J371" s="90"/>
      <c r="K371" s="90"/>
      <c r="L371" s="90"/>
      <c r="M371" s="90"/>
      <c r="N371" s="90"/>
      <c r="O371" s="90"/>
      <c r="P371" s="88"/>
      <c r="Q371" s="90"/>
    </row>
    <row r="372" customFormat="false" ht="12.75" hidden="false" customHeight="false" outlineLevel="0" collapsed="false">
      <c r="G372" s="90"/>
      <c r="H372" s="90"/>
      <c r="I372" s="90"/>
      <c r="J372" s="90"/>
      <c r="K372" s="90"/>
      <c r="L372" s="90"/>
      <c r="M372" s="90"/>
      <c r="N372" s="90"/>
      <c r="O372" s="90"/>
      <c r="P372" s="88"/>
      <c r="Q372" s="90"/>
    </row>
    <row r="373" customFormat="false" ht="12.75" hidden="false" customHeight="false" outlineLevel="0" collapsed="false">
      <c r="G373" s="90"/>
      <c r="H373" s="90"/>
      <c r="I373" s="90"/>
      <c r="J373" s="90"/>
      <c r="K373" s="90"/>
      <c r="L373" s="90"/>
      <c r="M373" s="90"/>
      <c r="N373" s="90"/>
      <c r="O373" s="90"/>
      <c r="P373" s="88"/>
      <c r="Q373" s="90"/>
    </row>
    <row r="374" customFormat="false" ht="12.75" hidden="false" customHeight="false" outlineLevel="0" collapsed="false">
      <c r="G374" s="90"/>
      <c r="H374" s="90"/>
      <c r="I374" s="90"/>
      <c r="J374" s="90"/>
      <c r="K374" s="90"/>
      <c r="L374" s="90"/>
      <c r="M374" s="90"/>
      <c r="N374" s="90"/>
      <c r="O374" s="90"/>
      <c r="P374" s="88"/>
      <c r="Q374" s="90"/>
    </row>
    <row r="375" customFormat="false" ht="12.75" hidden="false" customHeight="false" outlineLevel="0" collapsed="false">
      <c r="G375" s="90"/>
      <c r="H375" s="90"/>
      <c r="I375" s="90"/>
      <c r="J375" s="90"/>
      <c r="K375" s="90"/>
      <c r="L375" s="90"/>
      <c r="M375" s="90"/>
      <c r="N375" s="90"/>
      <c r="O375" s="90"/>
      <c r="P375" s="88"/>
      <c r="Q375" s="90"/>
    </row>
    <row r="376" customFormat="false" ht="12.75" hidden="false" customHeight="false" outlineLevel="0" collapsed="false">
      <c r="G376" s="90"/>
      <c r="H376" s="90"/>
      <c r="I376" s="90"/>
      <c r="J376" s="90"/>
      <c r="K376" s="90"/>
      <c r="L376" s="90"/>
      <c r="M376" s="90"/>
      <c r="N376" s="90"/>
      <c r="O376" s="90"/>
      <c r="P376" s="88"/>
      <c r="Q376" s="90"/>
    </row>
    <row r="377" customFormat="false" ht="12.75" hidden="false" customHeight="false" outlineLevel="0" collapsed="false">
      <c r="G377" s="90"/>
      <c r="H377" s="90"/>
      <c r="I377" s="90"/>
      <c r="J377" s="90"/>
      <c r="K377" s="90"/>
      <c r="L377" s="90"/>
      <c r="M377" s="90"/>
      <c r="N377" s="90"/>
      <c r="O377" s="90"/>
      <c r="P377" s="88"/>
      <c r="Q377" s="90"/>
    </row>
    <row r="378" customFormat="false" ht="12.75" hidden="false" customHeight="false" outlineLevel="0" collapsed="false">
      <c r="G378" s="90"/>
      <c r="H378" s="90"/>
      <c r="I378" s="90"/>
      <c r="J378" s="90"/>
      <c r="K378" s="90"/>
      <c r="L378" s="90"/>
      <c r="M378" s="90"/>
      <c r="N378" s="90"/>
      <c r="O378" s="90"/>
      <c r="P378" s="88"/>
      <c r="Q378" s="90"/>
    </row>
    <row r="379" customFormat="false" ht="12.75" hidden="false" customHeight="false" outlineLevel="0" collapsed="false">
      <c r="G379" s="90"/>
      <c r="H379" s="90"/>
      <c r="I379" s="90"/>
      <c r="J379" s="90"/>
      <c r="K379" s="90"/>
      <c r="L379" s="90"/>
      <c r="M379" s="90"/>
      <c r="N379" s="90"/>
      <c r="O379" s="90"/>
      <c r="P379" s="88"/>
      <c r="Q379" s="90"/>
    </row>
    <row r="380" customFormat="false" ht="12.75" hidden="false" customHeight="false" outlineLevel="0" collapsed="false">
      <c r="G380" s="90"/>
      <c r="H380" s="90"/>
      <c r="I380" s="90"/>
      <c r="J380" s="90"/>
      <c r="K380" s="90"/>
      <c r="L380" s="90"/>
      <c r="M380" s="90"/>
      <c r="N380" s="90"/>
      <c r="O380" s="90"/>
      <c r="P380" s="88"/>
      <c r="Q380" s="90"/>
    </row>
    <row r="381" customFormat="false" ht="12.75" hidden="false" customHeight="false" outlineLevel="0" collapsed="false">
      <c r="G381" s="90"/>
      <c r="H381" s="90"/>
      <c r="I381" s="90"/>
      <c r="J381" s="90"/>
      <c r="K381" s="90"/>
      <c r="L381" s="90"/>
      <c r="M381" s="90"/>
      <c r="N381" s="90"/>
      <c r="O381" s="90"/>
      <c r="P381" s="88"/>
      <c r="Q381" s="90"/>
    </row>
    <row r="382" customFormat="false" ht="12.75" hidden="false" customHeight="false" outlineLevel="0" collapsed="false">
      <c r="G382" s="90"/>
      <c r="H382" s="90"/>
      <c r="I382" s="90"/>
      <c r="J382" s="90"/>
      <c r="K382" s="90"/>
      <c r="L382" s="90"/>
      <c r="M382" s="90"/>
      <c r="N382" s="90"/>
      <c r="O382" s="90"/>
      <c r="P382" s="88"/>
      <c r="Q382" s="90"/>
    </row>
    <row r="383" customFormat="false" ht="12.75" hidden="false" customHeight="false" outlineLevel="0" collapsed="false">
      <c r="G383" s="90"/>
      <c r="H383" s="90"/>
      <c r="I383" s="90"/>
      <c r="J383" s="90"/>
      <c r="K383" s="90"/>
      <c r="L383" s="90"/>
      <c r="M383" s="90"/>
      <c r="N383" s="90"/>
      <c r="O383" s="90"/>
      <c r="P383" s="88"/>
      <c r="Q383" s="90"/>
    </row>
    <row r="384" customFormat="false" ht="12.75" hidden="false" customHeight="false" outlineLevel="0" collapsed="false">
      <c r="G384" s="90"/>
      <c r="H384" s="90"/>
      <c r="I384" s="90"/>
      <c r="J384" s="90"/>
      <c r="K384" s="90"/>
      <c r="L384" s="90"/>
      <c r="M384" s="90"/>
      <c r="N384" s="90"/>
      <c r="O384" s="90"/>
      <c r="P384" s="88"/>
      <c r="Q384" s="90"/>
    </row>
    <row r="385" customFormat="false" ht="12.75" hidden="false" customHeight="false" outlineLevel="0" collapsed="false">
      <c r="G385" s="90"/>
      <c r="H385" s="90"/>
      <c r="I385" s="90"/>
      <c r="J385" s="90"/>
      <c r="K385" s="90"/>
      <c r="L385" s="90"/>
      <c r="M385" s="90"/>
      <c r="N385" s="90"/>
      <c r="O385" s="90"/>
      <c r="P385" s="88"/>
      <c r="Q385" s="90"/>
    </row>
    <row r="386" customFormat="false" ht="12.75" hidden="false" customHeight="false" outlineLevel="0" collapsed="false">
      <c r="G386" s="90"/>
      <c r="H386" s="90"/>
      <c r="I386" s="90"/>
      <c r="J386" s="90"/>
      <c r="K386" s="90"/>
      <c r="L386" s="90"/>
      <c r="M386" s="90"/>
      <c r="N386" s="90"/>
      <c r="O386" s="90"/>
      <c r="P386" s="88"/>
      <c r="Q386" s="90"/>
    </row>
    <row r="387" customFormat="false" ht="12.75" hidden="false" customHeight="false" outlineLevel="0" collapsed="false">
      <c r="G387" s="90"/>
      <c r="H387" s="90"/>
      <c r="I387" s="90"/>
      <c r="J387" s="90"/>
      <c r="K387" s="90"/>
      <c r="L387" s="90"/>
      <c r="M387" s="90"/>
      <c r="N387" s="90"/>
      <c r="O387" s="90"/>
      <c r="P387" s="88"/>
      <c r="Q387" s="90"/>
    </row>
    <row r="388" customFormat="false" ht="12.75" hidden="false" customHeight="false" outlineLevel="0" collapsed="false">
      <c r="G388" s="90"/>
      <c r="H388" s="90"/>
      <c r="I388" s="90"/>
      <c r="J388" s="90"/>
      <c r="K388" s="90"/>
      <c r="L388" s="90"/>
      <c r="M388" s="90"/>
      <c r="N388" s="90"/>
      <c r="O388" s="90"/>
      <c r="P388" s="88"/>
      <c r="Q388" s="90"/>
    </row>
    <row r="389" customFormat="false" ht="12.75" hidden="false" customHeight="false" outlineLevel="0" collapsed="false">
      <c r="G389" s="90"/>
      <c r="H389" s="90"/>
      <c r="I389" s="90"/>
      <c r="J389" s="90"/>
      <c r="K389" s="90"/>
      <c r="L389" s="90"/>
      <c r="M389" s="90"/>
      <c r="N389" s="90"/>
      <c r="O389" s="90"/>
      <c r="P389" s="88"/>
      <c r="Q389" s="90"/>
    </row>
    <row r="390" customFormat="false" ht="12.75" hidden="false" customHeight="false" outlineLevel="0" collapsed="false">
      <c r="G390" s="90"/>
      <c r="H390" s="90"/>
      <c r="I390" s="90"/>
      <c r="J390" s="90"/>
      <c r="K390" s="90"/>
      <c r="L390" s="90"/>
      <c r="M390" s="90"/>
      <c r="N390" s="90"/>
      <c r="O390" s="90"/>
      <c r="P390" s="88"/>
      <c r="Q390" s="90"/>
    </row>
    <row r="391" customFormat="false" ht="12.75" hidden="false" customHeight="false" outlineLevel="0" collapsed="false">
      <c r="G391" s="90"/>
      <c r="H391" s="90"/>
      <c r="I391" s="90"/>
      <c r="J391" s="90"/>
      <c r="K391" s="90"/>
      <c r="L391" s="90"/>
      <c r="M391" s="90"/>
      <c r="N391" s="90"/>
      <c r="O391" s="90"/>
      <c r="P391" s="88"/>
      <c r="Q391" s="90"/>
    </row>
    <row r="392" customFormat="false" ht="12.75" hidden="false" customHeight="false" outlineLevel="0" collapsed="false">
      <c r="G392" s="90"/>
      <c r="H392" s="90"/>
      <c r="I392" s="90"/>
      <c r="J392" s="90"/>
      <c r="K392" s="90"/>
      <c r="L392" s="90"/>
      <c r="M392" s="90"/>
      <c r="N392" s="90"/>
      <c r="O392" s="90"/>
      <c r="P392" s="88"/>
      <c r="Q392" s="90"/>
    </row>
    <row r="393" customFormat="false" ht="12.75" hidden="false" customHeight="false" outlineLevel="0" collapsed="false">
      <c r="G393" s="90"/>
      <c r="H393" s="90"/>
      <c r="I393" s="90"/>
      <c r="J393" s="90"/>
      <c r="K393" s="90"/>
      <c r="L393" s="90"/>
      <c r="M393" s="90"/>
      <c r="N393" s="90"/>
      <c r="O393" s="90"/>
      <c r="P393" s="88"/>
      <c r="Q393" s="90"/>
    </row>
    <row r="394" customFormat="false" ht="12.75" hidden="false" customHeight="false" outlineLevel="0" collapsed="false">
      <c r="G394" s="90"/>
      <c r="H394" s="90"/>
      <c r="I394" s="90"/>
      <c r="J394" s="90"/>
      <c r="K394" s="90"/>
      <c r="L394" s="90"/>
      <c r="M394" s="90"/>
      <c r="N394" s="90"/>
      <c r="O394" s="90"/>
      <c r="P394" s="88"/>
      <c r="Q394" s="90"/>
    </row>
    <row r="395" customFormat="false" ht="12.75" hidden="false" customHeight="false" outlineLevel="0" collapsed="false">
      <c r="G395" s="90"/>
      <c r="H395" s="90"/>
      <c r="I395" s="90"/>
      <c r="J395" s="90"/>
      <c r="K395" s="90"/>
      <c r="L395" s="90"/>
      <c r="M395" s="90"/>
      <c r="N395" s="90"/>
      <c r="O395" s="90"/>
      <c r="P395" s="88"/>
      <c r="Q395" s="90"/>
    </row>
    <row r="396" customFormat="false" ht="12.75" hidden="false" customHeight="false" outlineLevel="0" collapsed="false"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</row>
    <row r="397" customFormat="false" ht="12.75" hidden="false" customHeight="false" outlineLevel="0" collapsed="false"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</row>
    <row r="398" customFormat="false" ht="12.75" hidden="false" customHeight="false" outlineLevel="0" collapsed="false"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</row>
    <row r="399" customFormat="false" ht="12.75" hidden="false" customHeight="false" outlineLevel="0" collapsed="false"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</row>
    <row r="400" customFormat="false" ht="12.75" hidden="false" customHeight="false" outlineLevel="0" collapsed="false"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</row>
    <row r="401" customFormat="false" ht="12.75" hidden="false" customHeight="false" outlineLevel="0" collapsed="false"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</row>
    <row r="402" customFormat="false" ht="12.75" hidden="false" customHeight="false" outlineLevel="0" collapsed="false"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</row>
    <row r="403" customFormat="false" ht="12.75" hidden="false" customHeight="false" outlineLevel="0" collapsed="false"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</row>
    <row r="404" customFormat="false" ht="12.75" hidden="false" customHeight="false" outlineLevel="0" collapsed="false"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</row>
    <row r="405" customFormat="false" ht="12.75" hidden="false" customHeight="false" outlineLevel="0" collapsed="false"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</row>
    <row r="406" customFormat="false" ht="12.75" hidden="false" customHeight="false" outlineLevel="0" collapsed="false"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</row>
    <row r="407" customFormat="false" ht="12.75" hidden="false" customHeight="false" outlineLevel="0" collapsed="false"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</row>
    <row r="408" customFormat="false" ht="12.75" hidden="false" customHeight="false" outlineLevel="0" collapsed="false"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</row>
    <row r="409" customFormat="false" ht="12.75" hidden="false" customHeight="false" outlineLevel="0" collapsed="false"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</row>
    <row r="410" customFormat="false" ht="12.75" hidden="false" customHeight="false" outlineLevel="0" collapsed="false"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</row>
    <row r="411" customFormat="false" ht="12.75" hidden="false" customHeight="false" outlineLevel="0" collapsed="false"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</row>
    <row r="412" customFormat="false" ht="12.75" hidden="false" customHeight="false" outlineLevel="0" collapsed="false"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</row>
    <row r="413" customFormat="false" ht="12.75" hidden="false" customHeight="false" outlineLevel="0" collapsed="false"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</row>
    <row r="414" customFormat="false" ht="12.75" hidden="false" customHeight="false" outlineLevel="0" collapsed="false"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</row>
    <row r="415" customFormat="false" ht="12.75" hidden="false" customHeight="false" outlineLevel="0" collapsed="false"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</row>
    <row r="416" customFormat="false" ht="12.75" hidden="false" customHeight="false" outlineLevel="0" collapsed="false"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</row>
    <row r="417" customFormat="false" ht="12.75" hidden="false" customHeight="false" outlineLevel="0" collapsed="false"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</row>
    <row r="418" customFormat="false" ht="12.75" hidden="false" customHeight="false" outlineLevel="0" collapsed="false"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</row>
    <row r="419" customFormat="false" ht="12.75" hidden="false" customHeight="false" outlineLevel="0" collapsed="false"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</row>
    <row r="420" customFormat="false" ht="12.75" hidden="false" customHeight="false" outlineLevel="0" collapsed="false"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</row>
    <row r="421" customFormat="false" ht="12.75" hidden="false" customHeight="false" outlineLevel="0" collapsed="false"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</row>
    <row r="422" customFormat="false" ht="12.75" hidden="false" customHeight="false" outlineLevel="0" collapsed="false"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</row>
    <row r="423" customFormat="false" ht="12.75" hidden="false" customHeight="false" outlineLevel="0" collapsed="false"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</row>
    <row r="424" customFormat="false" ht="12.75" hidden="false" customHeight="false" outlineLevel="0" collapsed="false"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</row>
    <row r="425" customFormat="false" ht="12.75" hidden="false" customHeight="false" outlineLevel="0" collapsed="false"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</row>
    <row r="426" customFormat="false" ht="12.75" hidden="false" customHeight="false" outlineLevel="0" collapsed="false"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</row>
    <row r="427" customFormat="false" ht="12.75" hidden="false" customHeight="false" outlineLevel="0" collapsed="false"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</row>
    <row r="428" customFormat="false" ht="12.75" hidden="false" customHeight="false" outlineLevel="0" collapsed="false"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</row>
    <row r="429" customFormat="false" ht="12.75" hidden="false" customHeight="false" outlineLevel="0" collapsed="false"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</row>
    <row r="430" customFormat="false" ht="12.75" hidden="false" customHeight="false" outlineLevel="0" collapsed="false"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</row>
    <row r="431" customFormat="false" ht="12.75" hidden="false" customHeight="false" outlineLevel="0" collapsed="false"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</row>
  </sheetData>
  <mergeCells count="1">
    <mergeCell ref="B8:C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2000-07-25T13:38:02Z</dcterms:created>
  <dc:creator>egroves</dc:creator>
  <dc:description/>
  <dc:language>en-US</dc:language>
  <cp:lastModifiedBy>egroves</cp:lastModifiedBy>
  <cp:revision>0</cp:revision>
  <dc:subject/>
  <dc:title/>
</cp:coreProperties>
</file>